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rsjijsselland-my.sharepoint.com/personal/g_lezwijn_rsj-ijsselland_nl/Documents/"/>
    </mc:Choice>
  </mc:AlternateContent>
  <xr:revisionPtr revIDLastSave="0" documentId="8_{CE1FD6C5-AE67-406B-A6FB-B88DDA13530E}" xr6:coauthVersionLast="47" xr6:coauthVersionMax="47" xr10:uidLastSave="{00000000-0000-0000-0000-000000000000}"/>
  <workbookProtection workbookAlgorithmName="SHA-512" workbookHashValue="jtw1cXeGjMidTGQhYElVYvnXkBXWodVh2bahpbB2xpJnpLYuPvo20wBXhjiMgjtCxIT4hMDgzLz+ACvTUNpWLQ==" workbookSaltValue="lcvSoXlU9WmqGWzNICjkUQ==" workbookSpinCount="100000" lockStructure="1"/>
  <bookViews>
    <workbookView xWindow="-120" yWindow="-120" windowWidth="29040" windowHeight="15840" activeTab="2" xr2:uid="{B48004E5-3425-44E8-8DE8-5B23DA34477A}"/>
  </bookViews>
  <sheets>
    <sheet name="Versiebeheer" sheetId="4" r:id="rId1"/>
    <sheet name="Invulinstructie" sheetId="6" r:id="rId2"/>
    <sheet name="Rekenhulp ambulant budget" sheetId="1" r:id="rId3"/>
    <sheet name="Testbevindingen" sheetId="5" state="hidden" r:id="rId4"/>
    <sheet name="Lijsten" sheetId="2" state="hidden" r:id="rId5"/>
    <sheet name="Rekentarief" sheetId="7" state="hidden" r:id="rId6"/>
  </sheets>
  <definedNames>
    <definedName name="_xlnm._FilterDatabase" localSheetId="3"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H21" i="1"/>
  <c r="C23" i="1"/>
  <c r="H13" i="1"/>
  <c r="K19" i="1"/>
  <c r="C18" i="1"/>
  <c r="E15" i="1"/>
  <c r="E6" i="1" l="1"/>
  <c r="D2" i="1" l="1"/>
  <c r="H14" i="1"/>
  <c r="D23" i="1"/>
  <c r="K24" i="1" s="1"/>
  <c r="D30" i="1" l="1"/>
  <c r="K23" i="1" s="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J13" i="2" l="1"/>
  <c r="J12" i="2"/>
  <c r="L6" i="2"/>
  <c r="L9" i="2"/>
  <c r="L7" i="2"/>
  <c r="L8" i="2"/>
  <c r="H16" i="1"/>
  <c r="H15" i="1"/>
  <c r="C27" i="1"/>
  <c r="K25" i="1" l="1"/>
  <c r="D28" i="1"/>
  <c r="D27" i="1"/>
  <c r="K16" i="1" s="1"/>
  <c r="K18" i="1" l="1"/>
  <c r="D29" i="1"/>
  <c r="M6" i="2"/>
  <c r="K26" i="1" l="1"/>
  <c r="K20" i="1"/>
  <c r="A18" i="4" l="1"/>
  <c r="A17" i="4"/>
  <c r="K22" i="1"/>
  <c r="K17" i="1"/>
  <c r="K21" i="1"/>
  <c r="K15" i="1"/>
</calcChain>
</file>

<file path=xl/sharedStrings.xml><?xml version="1.0" encoding="utf-8"?>
<sst xmlns="http://schemas.openxmlformats.org/spreadsheetml/2006/main" count="316" uniqueCount="232">
  <si>
    <t>Versiebeheer</t>
  </si>
  <si>
    <t>Het model waarschuwt vanaf 1 december dat de tarieven moeten worden aangepast.</t>
  </si>
  <si>
    <t>geldig tot</t>
  </si>
  <si>
    <t>rekentarief</t>
  </si>
  <si>
    <t>intensiteit</t>
  </si>
  <si>
    <t>Rekenhulp standaardbudget 1</t>
  </si>
  <si>
    <t>Rekenhulp standaardbudget 2</t>
  </si>
  <si>
    <t>Rekenhulp standaardbudget 3</t>
  </si>
  <si>
    <t>Rekenhulp standaardbudget 4</t>
  </si>
  <si>
    <t>Rekenhulp standaardbudget 5</t>
  </si>
  <si>
    <t>Rekenhulp standaardbudget 6</t>
  </si>
  <si>
    <t>Rekenhulp standaardbudget 7</t>
  </si>
  <si>
    <t>Rekenhulp standaardbudget 8</t>
  </si>
  <si>
    <t>Rekenhulp standaardbudget 9</t>
  </si>
  <si>
    <t>Rekenhulp standaardbudget 10</t>
  </si>
  <si>
    <t>in te vullen</t>
  </si>
  <si>
    <t>Alle grijze velden invullen!</t>
  </si>
  <si>
    <t>ingevuld</t>
  </si>
  <si>
    <t>Budgetbepaling voor duurzaam of herstel?</t>
  </si>
  <si>
    <t>niet invulbaar</t>
  </si>
  <si>
    <t>Toewijzing met groepsaanbod?</t>
  </si>
  <si>
    <t>onjuiste invoer</t>
  </si>
  <si>
    <t>waarschuwing</t>
  </si>
  <si>
    <t>In te vullen gegevens</t>
  </si>
  <si>
    <t>Intensiteit groepsaanbod</t>
  </si>
  <si>
    <t>Budget groepsaanbod</t>
  </si>
  <si>
    <t>Resultaten van hierboven ingevulde gegevens</t>
  </si>
  <si>
    <t>(Wordt automatisch gevuld)</t>
  </si>
  <si>
    <t>Uurtarief groepsaanbod</t>
  </si>
  <si>
    <t>Rekentarief ambulante jeugdhulp</t>
  </si>
  <si>
    <t>1​</t>
  </si>
  <si>
    <t>2​</t>
  </si>
  <si>
    <t>3​</t>
  </si>
  <si>
    <t>4​</t>
  </si>
  <si>
    <t>5​</t>
  </si>
  <si>
    <t>6​</t>
  </si>
  <si>
    <t>7​</t>
  </si>
  <si>
    <t>8​</t>
  </si>
  <si>
    <t>dag</t>
  </si>
  <si>
    <t>week</t>
  </si>
  <si>
    <t>vier weken</t>
  </si>
  <si>
    <t>maand</t>
  </si>
  <si>
    <t>kwartaal</t>
  </si>
  <si>
    <t>halfjaar</t>
  </si>
  <si>
    <t>jaar</t>
  </si>
  <si>
    <t>beschikking</t>
  </si>
  <si>
    <t>groep</t>
  </si>
  <si>
    <t>tijd</t>
  </si>
  <si>
    <t>dagen</t>
  </si>
  <si>
    <t>dagdelen</t>
  </si>
  <si>
    <t>Duur toewijzing ambulant (bij duurzaam altijd 1 jaar)</t>
  </si>
  <si>
    <t>Duur toewijzing groepsaanbod (bij duurzaam 1 jaar)</t>
  </si>
  <si>
    <t>Duurzaamja</t>
  </si>
  <si>
    <t>Herstelja</t>
  </si>
  <si>
    <t>eenheid van beschikking</t>
  </si>
  <si>
    <t>eenheid van hulpinzet</t>
  </si>
  <si>
    <t>weken</t>
  </si>
  <si>
    <t>maanden</t>
  </si>
  <si>
    <t>kwartalen</t>
  </si>
  <si>
    <t>halfjaren</t>
  </si>
  <si>
    <t>uur per dag</t>
  </si>
  <si>
    <t>uur per week</t>
  </si>
  <si>
    <t>uur per vier weken</t>
  </si>
  <si>
    <t>uur per maand</t>
  </si>
  <si>
    <t>uur per kwartaal</t>
  </si>
  <si>
    <t>uur per halfjaar</t>
  </si>
  <si>
    <t>uur per jaar</t>
  </si>
  <si>
    <t>groepeen</t>
  </si>
  <si>
    <t>uren per</t>
  </si>
  <si>
    <t>minuten per</t>
  </si>
  <si>
    <t>eenheden</t>
  </si>
  <si>
    <t>periodes van vier weken</t>
  </si>
  <si>
    <t>Uren groepsaanbod hele beschikking</t>
  </si>
  <si>
    <t>Aangepast in versie 1.1 ten opzichte van versie 1.0</t>
  </si>
  <si>
    <t>Perceel 1</t>
  </si>
  <si>
    <t>Perceel 2</t>
  </si>
  <si>
    <t>Perceel 3</t>
  </si>
  <si>
    <t>Perceel 4</t>
  </si>
  <si>
    <t>Perceel 5</t>
  </si>
  <si>
    <t>perceel</t>
  </si>
  <si>
    <t>Standaardbudgetten</t>
  </si>
  <si>
    <t>Cliëntnummer of cliëntkenmerk</t>
  </si>
  <si>
    <t>(optie)</t>
  </si>
  <si>
    <t>optioneel</t>
  </si>
  <si>
    <t xml:space="preserve">Nr. </t>
  </si>
  <si>
    <t>Melder</t>
  </si>
  <si>
    <t>Bevinding</t>
  </si>
  <si>
    <t xml:space="preserve">Cel </t>
  </si>
  <si>
    <t>Status</t>
  </si>
  <si>
    <t>Voorstel</t>
  </si>
  <si>
    <t>Ambulant groepsaanbod</t>
  </si>
  <si>
    <t>Ambulant individueel</t>
  </si>
  <si>
    <t>Gosse</t>
  </si>
  <si>
    <t>Is dit kleurenblind proof?</t>
  </si>
  <si>
    <t>de gekleurde cellen</t>
  </si>
  <si>
    <t xml:space="preserve">E6, D21 en D24 (ook checken bij E21! </t>
  </si>
  <si>
    <t>Macro werkt niet op nr. 6 onder eenheden, nr. 9 en nr. 12. En de andere dropdown menus worden ook niet gedeleted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</si>
  <si>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</si>
  <si>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Kunnen / willen we een max toevoegen aan 'Gewenst rekentarief o.b.v. verwachte disciplinemix (€)' om eventuele foutjes te voorkomen?</t>
  </si>
  <si>
    <t>D24</t>
  </si>
  <si>
    <t>Vraag</t>
  </si>
  <si>
    <t>Renske</t>
  </si>
  <si>
    <t>Toewijzing met individuele jeugdhulp?</t>
  </si>
  <si>
    <t>Toelichting</t>
  </si>
  <si>
    <t>Invulinstructie Rekenhulp ambulant budget</t>
  </si>
  <si>
    <t>Vraagnummer</t>
  </si>
  <si>
    <t>RvdZ</t>
  </si>
  <si>
    <t xml:space="preserve">Schatting declarabele cliëntgebonden tijd ambulant individueel </t>
  </si>
  <si>
    <t>Duur toewijzing groepsaanbod en ambulant combineren tot 1 vraag?</t>
  </si>
  <si>
    <t>6 en 9</t>
  </si>
  <si>
    <t>Tariefklasse aanbieder (perceel 1 t/m 5)</t>
  </si>
  <si>
    <t xml:space="preserve">Vul hier de tariefklasse in waar de betreffende aanbieder voor is gecontracteerd.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</si>
  <si>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</si>
  <si>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Budget individuele jeugdhulp</t>
  </si>
  <si>
    <t>Ambulant budget totaal</t>
  </si>
  <si>
    <t>Budget indivuele jeugdhulp</t>
  </si>
  <si>
    <t>Keuze van eenheden toegevoegd bij vragen over omvang (Q)</t>
  </si>
  <si>
    <t>Overzicht met de standaardbudgetten toegevoegd</t>
  </si>
  <si>
    <t>Tarieven individuele jeugdhulp op basis van 5 tariefklassen / percelen</t>
  </si>
  <si>
    <t xml:space="preserve">D19 is grijs, grijs = invullen maar deze cel hoeft niet ingevuld te worden. </t>
  </si>
  <si>
    <t>D19</t>
  </si>
  <si>
    <t>D21</t>
  </si>
  <si>
    <t>ME/MtB</t>
  </si>
  <si>
    <t>het lichte tarief van 70 euro per uur lijkt verdwenen?</t>
  </si>
  <si>
    <t>graag afwegingskader voor groepszwaarte</t>
  </si>
  <si>
    <t>regel 12: wanneer van toepassing?</t>
  </si>
  <si>
    <t>geen clientnaam ivm privacy</t>
  </si>
  <si>
    <t>Saskia</t>
  </si>
  <si>
    <t>Als je maanden invult en inzet per week rekent hij geen juist totaal uit</t>
  </si>
  <si>
    <t>D15,16 20, 21</t>
  </si>
  <si>
    <t>Uitleg van betekenis groepsaanbod licht, middel etc.</t>
  </si>
  <si>
    <t>D18</t>
  </si>
  <si>
    <t>Bij wissen van formulier blijft duur toewijzing ambulant staan</t>
  </si>
  <si>
    <t>D21 E21</t>
  </si>
  <si>
    <t>Algemeen</t>
  </si>
  <si>
    <t>Wie</t>
  </si>
  <si>
    <t>Actiehouder</t>
  </si>
  <si>
    <t>Rekenhulp</t>
  </si>
  <si>
    <t>Invulinstructie</t>
  </si>
  <si>
    <t xml:space="preserve">Functie verwijderen en handmatig leeg maken of nieuwe versie gebruiken </t>
  </si>
  <si>
    <t>In een volgende versie kleurenblind proof maken</t>
  </si>
  <si>
    <t>on hold</t>
  </si>
  <si>
    <t>1.1</t>
  </si>
  <si>
    <t>Deze cellen een apart kleurtje geven en dit opnemen in de legenda. Herstellen.</t>
  </si>
  <si>
    <t>Alle cellen onder E en F of alleen E15 en 16</t>
  </si>
  <si>
    <t>afvoeren</t>
  </si>
  <si>
    <t xml:space="preserve">Geen maximum omdat overleg tussen aanbieder en toegang altijd plaats moet vinden. </t>
  </si>
  <si>
    <t>D14 en D16 geel maken</t>
  </si>
  <si>
    <t xml:space="preserve">Testen als beveiliging er weer op staat. </t>
  </si>
  <si>
    <t>duurzaam geeft: D21 wat wil je in voor een half jaar? 0,5 geef een foutmelding, wanneer anders dan 1 jaar geeft rood, niet wenselijk. Korter mag, enkel langer niet. max 1 jaar, korter geeft foutmelding. Niet wenselijk echter een foutmelding is niet wenselijk.</t>
  </si>
  <si>
    <t xml:space="preserve">Budgetten vallen deels weg wanneer regel 8 tm 30 in beeld staan =  de regels die ingevuld dienen te worden.  Mogelijk kan de indeling iets aangepast worden zodat de budgetten goed zichtbaar zijn gezamenlijk met het antwoord ( stappen aan het einde) </t>
  </si>
  <si>
    <t>Advies standaaardbudget nr. en bedrag toevoegen onderaan de tabel rechtsonder</t>
  </si>
  <si>
    <t>Volgende versie</t>
  </si>
  <si>
    <t>Vormgeving verbeteren in volgende versie</t>
  </si>
  <si>
    <t>Zie invulinstructie</t>
  </si>
  <si>
    <t>D11</t>
  </si>
  <si>
    <t>Zie RTP en invulinstructie</t>
  </si>
  <si>
    <t>Tijdelijke status</t>
  </si>
  <si>
    <t>Gereed</t>
  </si>
  <si>
    <t>Aanbieder of gemeente</t>
  </si>
  <si>
    <t>Hoe - technisch</t>
  </si>
  <si>
    <t xml:space="preserve">Verwijzing naar contractuele inkoopafspraak </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</si>
  <si>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</si>
  <si>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</si>
  <si>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Vul hier een afwijkend uurtarief in als op voorhand duidelijk is dat de inzet een andere gemiddeld uurtarief zal vragen. Dit kan lager en hoger zijn. De feitelijke inzet van de medewerkers bij de aanbieders zal worden gedeclareerd.</t>
  </si>
  <si>
    <t xml:space="preserve">n.v.t. </t>
  </si>
  <si>
    <t xml:space="preserve">Apart houden voor de berekening en toevoegen aan de invulinstructie dat de toewijzing maar 1 duur heeft. </t>
  </si>
  <si>
    <t xml:space="preserve">Klopt, omdat dit is vervangen door het gemiddelde tarief per perceel, met de mogelijkheid om naar beneden en boven aan te passen. </t>
  </si>
  <si>
    <t>Dat wordt niet gevraagd. Was gevoelig ivm online versie.</t>
  </si>
  <si>
    <t>Uitzoeken en repareren: reconstructie test door Saskia</t>
  </si>
  <si>
    <t>1. Specialistische jeugdhulpaanbieder (SJA)</t>
  </si>
  <si>
    <t>2. Systeemaanbieder (SA)</t>
  </si>
  <si>
    <t>3. Aanbieder GGZ 1</t>
  </si>
  <si>
    <t>4. Aanbieder GGZ 2 met verblijf</t>
  </si>
  <si>
    <t>5. Aanbieder GGZ 3 met academische functie</t>
  </si>
  <si>
    <t>50411 Groepsaanbod licht</t>
  </si>
  <si>
    <t>50412 Groepsaanbod middel</t>
  </si>
  <si>
    <t>50413 Groepsaanbod middelzwaar</t>
  </si>
  <si>
    <t>50414 Groepsaanbod zwaar</t>
  </si>
  <si>
    <t>Tarieven in ambulant vervangen naar aanbieder niveau</t>
  </si>
  <si>
    <t>Volgende versie wel bespreken!</t>
  </si>
  <si>
    <t>Bestand lokaal beschikbaar gemaakt i.p.v. online versie met meerdere tabbladen</t>
  </si>
  <si>
    <t>Vraag toegevoegd: cliëntnummer / kenmerk</t>
  </si>
  <si>
    <t>Afwijkend rekentarief o.b.v. verwachte functiemix</t>
  </si>
  <si>
    <r>
      <t>Gemiddeld aantal aanwezigheids</t>
    </r>
    <r>
      <rPr>
        <i/>
        <u/>
        <sz val="10"/>
        <color theme="1"/>
        <rFont val="Calibri"/>
        <family val="2"/>
      </rPr>
      <t>uren per dag</t>
    </r>
    <r>
      <rPr>
        <sz val="10"/>
        <color theme="1"/>
        <rFont val="Calibri"/>
        <family val="2"/>
      </rPr>
      <t xml:space="preserve"> groepsaanbod</t>
    </r>
  </si>
  <si>
    <r>
      <t>Aanwezigheids</t>
    </r>
    <r>
      <rPr>
        <i/>
        <u/>
        <sz val="10"/>
        <color theme="1"/>
        <rFont val="Calibri"/>
        <family val="2"/>
        <scheme val="minor"/>
      </rPr>
      <t>dagen</t>
    </r>
    <r>
      <rPr>
        <sz val="10"/>
        <color theme="1"/>
        <rFont val="Calibri"/>
        <family val="2"/>
        <scheme val="minor"/>
      </rPr>
      <t xml:space="preserve"> bij het groepsaanbod</t>
    </r>
  </si>
  <si>
    <t>Voorafgaand aan het overleg tussen aanbieder en gemeente of acceptatie door aanbieder</t>
  </si>
  <si>
    <t>Na downloaden van lege versie deze 'Opslaan als' in Excel voor het invullen en bewaren van de ingevulde versie voor de jeugdige</t>
  </si>
  <si>
    <t>Inkoopdocument paragraaf 8.4</t>
  </si>
  <si>
    <t xml:space="preserve">Een duurzaam budget voor langdurige hulpverleningstrajecten (begeleidingsvragen) en een herstelbudget voor hulpverleningstrajecten die eindig zijn (behandelvragen). </t>
  </si>
  <si>
    <t>Is groepsaanbod mogelijk binnen de toewijzing?</t>
  </si>
  <si>
    <t>Is individuele jeugdhulp mogelijk binnen de toewijzing?</t>
  </si>
  <si>
    <t>Naar eigen keuze of lokale afspraak in te vullen.</t>
  </si>
  <si>
    <t>Inschatting aantal dagen per eenheid.</t>
  </si>
  <si>
    <t>Inschatting aantal uren per dag.</t>
  </si>
  <si>
    <t>Inschatting benodigde duur.</t>
  </si>
  <si>
    <t>Wat</t>
  </si>
  <si>
    <t>Doel</t>
  </si>
  <si>
    <t>*Vraag 13: gemiddeld uurtarief per tariefklasse</t>
  </si>
  <si>
    <t>Datumstempel en versienummer toegevoegd aan de resultaattabel</t>
  </si>
  <si>
    <t>Vraag toegevoegd: correctie tarief naar aanleiding van verwachte afwijkende functiemix</t>
  </si>
  <si>
    <t>Tarief 2023</t>
  </si>
  <si>
    <t>Tariefgroep 1</t>
  </si>
  <si>
    <t>Tariefgroep 2</t>
  </si>
  <si>
    <t>Tariefgroep 3</t>
  </si>
  <si>
    <t>Tariefgroep 4</t>
  </si>
  <si>
    <t>Tariefgroep 5</t>
  </si>
  <si>
    <t>Tariefgroep 6</t>
  </si>
  <si>
    <t>Tariefgroep 7</t>
  </si>
  <si>
    <t>Invulinstructie toegevoegd als 2e tabblad</t>
  </si>
  <si>
    <t>Rekenhulp ambulant budget</t>
  </si>
  <si>
    <t>Versie 1.1</t>
  </si>
  <si>
    <t>Vragen en verbetervoorstellen kun je mailen naar inkoop@rsj-ijsselland.nl o.v.v. Rekenhulp ambulant budget</t>
  </si>
  <si>
    <t>Wanneer gebruiken van de rekenhulp</t>
  </si>
  <si>
    <t>Vervolg na gebruik van de rekenhulp</t>
  </si>
  <si>
    <t>Gemiddeld tarief o.b.v. FTE's alle inschrijfformulieren</t>
  </si>
  <si>
    <t>NB afgerond op 5-tallen voor rekenhulp</t>
  </si>
  <si>
    <t xml:space="preserve">Op basis van vraag 12 wordt het gemiddelde uurtarief van de 7 functieniveaus (functiemix) getoond uit de betreffende tariefklasse. Dit gemiddelde is gebaseerd op de FTE-opgave bij de inschrijving in de inkoopprocedure per tariefklasse. Onderaan deze invulinstructie staan de uurtariefen per functieniveau en het gemiddelde per tariefklasse. </t>
  </si>
  <si>
    <t>Gemiddel uurtarief</t>
  </si>
  <si>
    <t>Aanwezigheidsdagen bij het groepsaanbod</t>
  </si>
  <si>
    <t>Gemiddeld aantal aanwezigheidsuren per dag groepsaanbod</t>
  </si>
  <si>
    <t>Intensiteit groepsaanbod (dropdown)</t>
  </si>
  <si>
    <t>Gemiddeld uurtarief ambulante jeugdhulp</t>
  </si>
  <si>
    <t>Afwijkend rekentarief o.b.v. verwachte disciplinemix (€)</t>
  </si>
  <si>
    <t>https://rsj-ijsselland.nl/sites/rsj_ijsselland/files/20221027-Overzicht-aanbieders-specialistische-jeugdhulp-regio-IJsselland-vanaf-2023.pdf</t>
  </si>
  <si>
    <t xml:space="preserve">Overleg tussen aanbieder en gemeente of acceptatie door aanbieder om tot een JW315 of JW301 bericht te komen.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</si>
  <si>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</si>
  <si>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r>
      <t xml:space="preserve">Nieuwe berekening: wis alle </t>
    </r>
    <r>
      <rPr>
        <b/>
        <sz val="10"/>
        <color theme="0"/>
        <rFont val="Calibri"/>
        <family val="2"/>
        <scheme val="minor"/>
      </rPr>
      <t>groene</t>
    </r>
    <r>
      <rPr>
        <sz val="10"/>
        <color theme="0"/>
        <rFont val="Calibri"/>
        <family val="2"/>
        <scheme val="minor"/>
      </rPr>
      <t xml:space="preserve"> velden</t>
    </r>
  </si>
  <si>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</si>
  <si>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totaal beschikking</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</si>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</sst>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5" formatCode="&quot;€&quot;\ #,##0"/>
    <numFmt numFmtId="166" formatCode="[$-413]d\ mmmm\ yyyy;@"/>
    <numFmt numFmtId="167" formatCode="0.0"/>
    <numFmt numFmtId="168" formatCode="#,##0.0"/>
  </numFmts>
  <fonts count="26"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s>
  <fills count="1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33">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165" fontId="6" fillId="0" borderId="1" xfId="0" applyNumberFormat="1" applyFont="1" applyBorder="1" applyAlignment="1" applyProtection="1">
      <alignment vertical="center"/>
      <protection hidden="1"/>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12" fillId="6" borderId="1" xfId="0" applyNumberFormat="1" applyFont="1" applyFill="1" applyBorder="1" applyAlignment="1" applyProtection="1">
      <alignment horizontal="right"/>
      <protection locked="0"/>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1" fillId="0" borderId="0" xfId="0" applyFont="1" applyAlignment="1">
      <alignment vertical="top"/>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168" fontId="4" fillId="0" borderId="1" xfId="0" applyNumberFormat="1" applyFont="1" applyBorder="1"/>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0" fillId="10" borderId="0" xfId="0" applyFill="1" applyAlignment="1">
      <alignment vertical="top" wrapText="1"/>
    </xf>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2">
    <cellStyle name="Hyperlink" xfId="1" builtinId="8"/>
    <cellStyle name="Standaard" xfId="0" builtinId="0"/>
  </cellStyles>
  <dxfs count="21">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theme="9" tint="0.79998168889431442"/>
        </patternFill>
      </fill>
    </dxf>
    <dxf>
      <fill>
        <patternFill>
          <bgColor theme="0" tint="-4.9989318521683403E-2"/>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3</xdr:col>
      <xdr:colOff>19050</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27</xdr:row>
          <xdr:rowOff>180975</xdr:rowOff>
        </xdr:from>
        <xdr:to>
          <xdr:col>3</xdr:col>
          <xdr:colOff>2931795</xdr:colOff>
          <xdr:row>38</xdr:row>
          <xdr:rowOff>20955</xdr:rowOff>
        </xdr:to>
        <xdr:pic>
          <xdr:nvPicPr>
            <xdr:cNvPr id="7" name="Afbeelding 6">
              <a:extLst>
                <a:ext uri="{FF2B5EF4-FFF2-40B4-BE49-F238E27FC236}">
                  <a16:creationId xmlns:a16="http://schemas.microsoft.com/office/drawing/2014/main" id="{45B26E24-6F8A-487B-80B1-71E4AB76E25D}"/>
                </a:ext>
              </a:extLst>
            </xdr:cNvPr>
            <xdr:cNvPicPr>
              <a:picLocks noChangeAspect="1" noChangeArrowheads="1"/>
              <a:extLst>
                <a:ext uri="{84589F7E-364E-4C9E-8A38-B11213B215E9}">
                  <a14:cameraTool cellRange="Rekentarief!$B$2:$G$10" spid="_x0000_s2147"/>
                </a:ext>
              </a:extLst>
            </xdr:cNvPicPr>
          </xdr:nvPicPr>
          <xdr:blipFill>
            <a:blip xmlns:r="http://schemas.openxmlformats.org/officeDocument/2006/relationships" r:embed="rId2"/>
            <a:srcRect/>
            <a:stretch>
              <a:fillRect/>
            </a:stretch>
          </xdr:blipFill>
          <xdr:spPr bwMode="auto">
            <a:xfrm>
              <a:off x="66675" y="15373350"/>
              <a:ext cx="9989820" cy="1935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sj-ijsselland.nl/sites/rsj_ijsselland/files/20221027-Overzicht-aanbieders-specialistische-jeugdhulp-regio-IJsselland-vanaf-2023.pdf"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21"/>
  <sheetViews>
    <sheetView showGridLines="0" workbookViewId="0">
      <selection activeCell="E19" sqref="E19"/>
    </sheetView>
  </sheetViews>
  <sheetFormatPr defaultRowHeight="15" x14ac:dyDescent="0.25"/>
  <cols>
    <col min="1" max="1" width="3.5703125" customWidth="1"/>
    <col min="2" max="2" width="102" customWidth="1"/>
  </cols>
  <sheetData>
    <row r="1" spans="1:2" ht="15.75" x14ac:dyDescent="0.25">
      <c r="A1" s="31" t="s">
        <v>0</v>
      </c>
    </row>
    <row r="3" spans="1:2" x14ac:dyDescent="0.25">
      <c r="A3" s="4" t="s">
        <v>210</v>
      </c>
    </row>
    <row r="4" spans="1:2" x14ac:dyDescent="0.25">
      <c r="A4" t="s">
        <v>211</v>
      </c>
    </row>
    <row r="5" spans="1:2" x14ac:dyDescent="0.25">
      <c r="A5" s="112">
        <v>44916</v>
      </c>
      <c r="B5" s="112"/>
    </row>
    <row r="7" spans="1:2" x14ac:dyDescent="0.25">
      <c r="A7" s="4" t="s">
        <v>73</v>
      </c>
    </row>
    <row r="8" spans="1:2" x14ac:dyDescent="0.25">
      <c r="A8">
        <v>1</v>
      </c>
      <c r="B8" t="s">
        <v>116</v>
      </c>
    </row>
    <row r="9" spans="1:2" x14ac:dyDescent="0.25">
      <c r="A9">
        <v>2</v>
      </c>
      <c r="B9" t="s">
        <v>117</v>
      </c>
    </row>
    <row r="10" spans="1:2" x14ac:dyDescent="0.25">
      <c r="A10">
        <v>3</v>
      </c>
      <c r="B10" t="s">
        <v>199</v>
      </c>
    </row>
    <row r="11" spans="1:2" x14ac:dyDescent="0.25">
      <c r="A11">
        <v>4</v>
      </c>
      <c r="B11" t="s">
        <v>181</v>
      </c>
    </row>
    <row r="12" spans="1:2" x14ac:dyDescent="0.25">
      <c r="A12">
        <v>5</v>
      </c>
      <c r="B12" t="s">
        <v>182</v>
      </c>
    </row>
    <row r="13" spans="1:2" x14ac:dyDescent="0.25">
      <c r="A13">
        <v>6</v>
      </c>
      <c r="B13" t="s">
        <v>118</v>
      </c>
    </row>
    <row r="14" spans="1:2" x14ac:dyDescent="0.25">
      <c r="A14">
        <v>7</v>
      </c>
      <c r="B14" t="s">
        <v>200</v>
      </c>
    </row>
    <row r="15" spans="1:2" x14ac:dyDescent="0.25">
      <c r="A15">
        <v>8</v>
      </c>
      <c r="B15" t="s">
        <v>209</v>
      </c>
    </row>
    <row r="17" spans="1:1" s="4" customFormat="1" x14ac:dyDescent="0.25">
      <c r="A17" s="4" t="str">
        <f>"Let op. Dit bestand bevat tarieven van "&amp;YEAR(Lijsten!F2)&amp;". Vanaf 1 januari "&amp;YEAR(Lijsten!F2)+1&amp;" werkt"</f>
        <v>Let op. Dit bestand bevat tarieven van 2023. Vanaf 1 januari 2024 werkt</v>
      </c>
    </row>
    <row r="18" spans="1:1" s="4" customFormat="1" x14ac:dyDescent="0.25">
      <c r="A18" s="4" t="str">
        <f>"deze rekentool niet meer omdat dan de tarieven "&amp;YEAR(Lijsten!F2)+1&amp;" moeten worden ingelezen."</f>
        <v>deze rekentool niet meer omdat dan de tarieven 2024 moeten worden ingelezen.</v>
      </c>
    </row>
    <row r="20" spans="1:1" x14ac:dyDescent="0.25">
      <c r="A20" t="s">
        <v>1</v>
      </c>
    </row>
    <row r="21" spans="1:1" x14ac:dyDescent="0.25">
      <c r="A21" t="s">
        <v>212</v>
      </c>
    </row>
  </sheetData>
  <sheetProtection algorithmName="SHA-512" hashValue="TS91NErrrhJp1O+NElwa2cDGQ2h1L64dMqpdzJ49LJuLX7GLp2aU8VRceo1+zoEXPucvDfr8q6klk+jMuRGrKw==" saltValue="f63Nd75SCvEoMEBmkjEuPg=="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44"/>
  <sheetViews>
    <sheetView workbookViewId="0">
      <pane ySplit="1" topLeftCell="A2" activePane="bottomLeft" state="frozen"/>
      <selection pane="bottomLeft" activeCell="B4" sqref="B4"/>
    </sheetView>
  </sheetViews>
  <sheetFormatPr defaultColWidth="9.140625" defaultRowHeight="15" x14ac:dyDescent="0.25"/>
  <cols>
    <col min="1" max="1" width="3.5703125" style="74" customWidth="1"/>
    <col min="2" max="2" width="38.85546875" style="74" bestFit="1" customWidth="1"/>
    <col min="3" max="3" width="64.42578125" style="74" customWidth="1"/>
    <col min="4" max="4" width="84.28515625" style="74" customWidth="1"/>
    <col min="5" max="16384" width="9.140625" style="74"/>
  </cols>
  <sheetData>
    <row r="1" spans="1:4" ht="18.75" x14ac:dyDescent="0.25">
      <c r="A1" s="75" t="s">
        <v>104</v>
      </c>
    </row>
    <row r="2" spans="1:4" ht="18.75" x14ac:dyDescent="0.25">
      <c r="A2" s="75"/>
    </row>
    <row r="3" spans="1:4" x14ac:dyDescent="0.25">
      <c r="A3" s="70" t="s">
        <v>134</v>
      </c>
      <c r="B3" s="76"/>
      <c r="C3" s="76"/>
      <c r="D3" s="77"/>
    </row>
    <row r="4" spans="1:4" ht="75" x14ac:dyDescent="0.25">
      <c r="A4" s="78"/>
      <c r="B4" s="79" t="s">
        <v>197</v>
      </c>
      <c r="C4" s="61" t="s">
        <v>231</v>
      </c>
      <c r="D4" s="80"/>
    </row>
    <row r="5" spans="1:4" ht="105" x14ac:dyDescent="0.25">
      <c r="A5" s="78"/>
      <c r="B5" s="79" t="s">
        <v>196</v>
      </c>
      <c r="C5" s="61" t="s">
        <v>230</v>
      </c>
      <c r="D5" s="80"/>
    </row>
    <row r="6" spans="1:4" ht="18.75" x14ac:dyDescent="0.25">
      <c r="A6" s="78"/>
      <c r="B6" s="79" t="s">
        <v>135</v>
      </c>
      <c r="C6" s="61" t="s">
        <v>159</v>
      </c>
      <c r="D6" s="80"/>
    </row>
    <row r="7" spans="1:4" ht="30" x14ac:dyDescent="0.25">
      <c r="A7" s="78"/>
      <c r="B7" s="79" t="s">
        <v>213</v>
      </c>
      <c r="C7" s="61" t="s">
        <v>186</v>
      </c>
      <c r="D7" s="80"/>
    </row>
    <row r="8" spans="1:4" ht="30" x14ac:dyDescent="0.25">
      <c r="A8" s="78"/>
      <c r="B8" s="79" t="s">
        <v>214</v>
      </c>
      <c r="C8" s="61" t="s">
        <v>225</v>
      </c>
      <c r="D8" s="80"/>
    </row>
    <row r="9" spans="1:4" ht="30" x14ac:dyDescent="0.25">
      <c r="A9" s="81"/>
      <c r="B9" s="79" t="s">
        <v>160</v>
      </c>
      <c r="C9" s="61" t="s">
        <v>187</v>
      </c>
      <c r="D9" s="82"/>
    </row>
    <row r="10" spans="1:4" s="54" customFormat="1" x14ac:dyDescent="0.25"/>
    <row r="11" spans="1:4" s="54" customFormat="1" x14ac:dyDescent="0.25">
      <c r="A11" s="70" t="s">
        <v>100</v>
      </c>
      <c r="B11" s="71"/>
      <c r="C11" s="83" t="s">
        <v>103</v>
      </c>
      <c r="D11" s="72" t="s">
        <v>161</v>
      </c>
    </row>
    <row r="12" spans="1:4" s="54" customFormat="1" ht="45" x14ac:dyDescent="0.25">
      <c r="A12" s="84">
        <v>1</v>
      </c>
      <c r="B12" s="84" t="s">
        <v>18</v>
      </c>
      <c r="C12" s="61" t="s">
        <v>189</v>
      </c>
      <c r="D12" s="61" t="s">
        <v>188</v>
      </c>
    </row>
    <row r="13" spans="1:4" s="54" customFormat="1" x14ac:dyDescent="0.25">
      <c r="A13" s="84">
        <v>2</v>
      </c>
      <c r="B13" s="84" t="s">
        <v>20</v>
      </c>
      <c r="C13" s="85" t="s">
        <v>190</v>
      </c>
      <c r="D13" s="61"/>
    </row>
    <row r="14" spans="1:4" s="54" customFormat="1" x14ac:dyDescent="0.25">
      <c r="A14" s="84">
        <v>3</v>
      </c>
      <c r="B14" s="84" t="s">
        <v>102</v>
      </c>
      <c r="C14" s="61" t="s">
        <v>191</v>
      </c>
      <c r="D14" s="61"/>
    </row>
    <row r="15" spans="1:4" s="54" customFormat="1" x14ac:dyDescent="0.25">
      <c r="A15" s="84">
        <v>4</v>
      </c>
      <c r="B15" s="84" t="s">
        <v>81</v>
      </c>
      <c r="C15" s="61" t="s">
        <v>192</v>
      </c>
      <c r="D15" s="61"/>
    </row>
    <row r="16" spans="1:4" s="54" customFormat="1" ht="30" x14ac:dyDescent="0.25">
      <c r="A16" s="84">
        <v>5</v>
      </c>
      <c r="B16" s="84" t="s">
        <v>219</v>
      </c>
      <c r="C16" s="61" t="s">
        <v>193</v>
      </c>
      <c r="D16" s="61"/>
    </row>
    <row r="17" spans="1:4" s="54" customFormat="1" ht="30" x14ac:dyDescent="0.25">
      <c r="A17" s="84">
        <v>6</v>
      </c>
      <c r="B17" s="84" t="s">
        <v>220</v>
      </c>
      <c r="C17" s="61" t="s">
        <v>194</v>
      </c>
      <c r="D17" s="61"/>
    </row>
    <row r="18" spans="1:4" s="54" customFormat="1" ht="30" x14ac:dyDescent="0.25">
      <c r="A18" s="84">
        <v>7</v>
      </c>
      <c r="B18" s="84" t="s">
        <v>51</v>
      </c>
      <c r="C18" s="61" t="s">
        <v>195</v>
      </c>
      <c r="D18" s="61"/>
    </row>
    <row r="19" spans="1:4" s="54" customFormat="1" ht="255" x14ac:dyDescent="0.25">
      <c r="A19" s="84">
        <v>8</v>
      </c>
      <c r="B19" s="84" t="s">
        <v>221</v>
      </c>
      <c r="C19" s="61" t="s">
        <v>162</v>
      </c>
      <c r="D19" s="61" t="s">
        <v>163</v>
      </c>
    </row>
    <row r="20" spans="1:4" s="54" customFormat="1" ht="195" x14ac:dyDescent="0.25">
      <c r="A20" s="84">
        <v>10</v>
      </c>
      <c r="B20" s="84" t="s">
        <v>107</v>
      </c>
      <c r="C20" s="85" t="s">
        <v>226</v>
      </c>
      <c r="D20" s="61" t="s">
        <v>112</v>
      </c>
    </row>
    <row r="21" spans="1:4" s="54" customFormat="1" ht="30" x14ac:dyDescent="0.25">
      <c r="A21" s="84">
        <v>11</v>
      </c>
      <c r="B21" s="84" t="s">
        <v>50</v>
      </c>
      <c r="C21" s="61" t="s">
        <v>195</v>
      </c>
      <c r="D21" s="61"/>
    </row>
    <row r="22" spans="1:4" s="54" customFormat="1" ht="30" x14ac:dyDescent="0.25">
      <c r="A22" s="84">
        <v>12</v>
      </c>
      <c r="B22" s="84" t="s">
        <v>110</v>
      </c>
      <c r="C22" s="61" t="s">
        <v>111</v>
      </c>
      <c r="D22" s="102" t="s">
        <v>224</v>
      </c>
    </row>
    <row r="23" spans="1:4" s="54" customFormat="1" ht="90" x14ac:dyDescent="0.25">
      <c r="A23" s="84">
        <v>13</v>
      </c>
      <c r="B23" s="84" t="s">
        <v>222</v>
      </c>
      <c r="C23" s="61" t="s">
        <v>217</v>
      </c>
      <c r="D23" s="61"/>
    </row>
    <row r="24" spans="1:4" s="54" customFormat="1" ht="60" x14ac:dyDescent="0.25">
      <c r="A24" s="84">
        <v>14</v>
      </c>
      <c r="B24" s="84" t="s">
        <v>223</v>
      </c>
      <c r="C24" s="61" t="s">
        <v>164</v>
      </c>
      <c r="D24" s="61"/>
    </row>
    <row r="25" spans="1:4" s="54" customFormat="1" x14ac:dyDescent="0.25"/>
    <row r="26" spans="1:4" s="54" customFormat="1" x14ac:dyDescent="0.25"/>
    <row r="27" spans="1:4" s="54" customFormat="1" x14ac:dyDescent="0.25">
      <c r="A27" s="86" t="s">
        <v>198</v>
      </c>
    </row>
    <row r="28" spans="1:4" s="54" customFormat="1" x14ac:dyDescent="0.25">
      <c r="A28" s="111"/>
      <c r="B28" s="111"/>
      <c r="C28" s="111"/>
      <c r="D28" s="111"/>
    </row>
    <row r="29" spans="1:4" s="54" customFormat="1" x14ac:dyDescent="0.25">
      <c r="A29" s="111"/>
      <c r="B29" s="111"/>
      <c r="C29" s="111"/>
      <c r="D29" s="111"/>
    </row>
    <row r="30" spans="1:4" s="54" customFormat="1" x14ac:dyDescent="0.25">
      <c r="A30" s="111"/>
      <c r="B30" s="111"/>
      <c r="C30" s="111"/>
      <c r="D30" s="111"/>
    </row>
    <row r="31" spans="1:4" s="54" customFormat="1" x14ac:dyDescent="0.25">
      <c r="A31" s="111"/>
      <c r="B31" s="111"/>
      <c r="C31" s="111"/>
      <c r="D31" s="111"/>
    </row>
    <row r="32" spans="1:4" s="54" customFormat="1" x14ac:dyDescent="0.25">
      <c r="A32" s="111"/>
      <c r="B32" s="111"/>
      <c r="C32" s="111"/>
      <c r="D32" s="111"/>
    </row>
    <row r="33" spans="1:4" s="54" customFormat="1" x14ac:dyDescent="0.25">
      <c r="A33" s="111"/>
      <c r="B33" s="111"/>
      <c r="C33" s="111"/>
      <c r="D33" s="111"/>
    </row>
    <row r="34" spans="1:4" s="54" customFormat="1" x14ac:dyDescent="0.25">
      <c r="A34" s="111"/>
      <c r="B34" s="111"/>
      <c r="C34" s="111"/>
      <c r="D34" s="111"/>
    </row>
    <row r="35" spans="1:4" s="54" customFormat="1" x14ac:dyDescent="0.25">
      <c r="A35" s="111"/>
      <c r="B35" s="111"/>
      <c r="C35" s="111"/>
      <c r="D35" s="111"/>
    </row>
    <row r="36" spans="1:4" s="54" customFormat="1" x14ac:dyDescent="0.25">
      <c r="A36" s="111"/>
      <c r="B36" s="111"/>
      <c r="C36" s="111"/>
      <c r="D36" s="111"/>
    </row>
    <row r="37" spans="1:4" s="54" customFormat="1" x14ac:dyDescent="0.25">
      <c r="A37" s="111"/>
      <c r="B37" s="111"/>
      <c r="C37" s="111"/>
      <c r="D37" s="111"/>
    </row>
    <row r="38" spans="1:4" s="54" customFormat="1" x14ac:dyDescent="0.25">
      <c r="A38" s="111"/>
      <c r="B38" s="111"/>
      <c r="C38" s="111"/>
      <c r="D38" s="111"/>
    </row>
    <row r="39" spans="1:4" s="54" customFormat="1" x14ac:dyDescent="0.25">
      <c r="A39" s="111"/>
      <c r="B39" s="111"/>
      <c r="C39" s="111"/>
      <c r="D39" s="111"/>
    </row>
    <row r="40" spans="1:4" s="54" customFormat="1" x14ac:dyDescent="0.25">
      <c r="A40" s="111"/>
      <c r="B40" s="111"/>
      <c r="C40" s="111"/>
      <c r="D40" s="111"/>
    </row>
    <row r="41" spans="1:4" s="54" customFormat="1" x14ac:dyDescent="0.25"/>
    <row r="42" spans="1:4" s="54" customFormat="1" x14ac:dyDescent="0.25"/>
    <row r="43" spans="1:4" s="54" customFormat="1" x14ac:dyDescent="0.25"/>
    <row r="44" spans="1:4" s="54" customFormat="1" x14ac:dyDescent="0.25"/>
  </sheetData>
  <sheetProtection algorithmName="SHA-512" hashValue="XfaSKk/p8/NpUaYn55xtjhLWjOQYjyJD+oLNB0ahFZ2YMLtuKQfcBWAZ+aArFXVl1/2aI9DUkbBjHudv7TAHSQ==" saltValue="xY6llg/ri7Mdzrs63xqj1A==" spinCount="100000" sheet="1" objects="1" scenarios="1"/>
  <hyperlinks>
    <hyperlink ref="D22" r:id="rId1" xr:uid="{A5A53134-F135-49E7-A761-CED45599F343}"/>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30"/>
  <sheetViews>
    <sheetView showGridLines="0" showZeros="0" tabSelected="1" zoomScale="120" zoomScaleNormal="120" workbookViewId="0">
      <pane ySplit="1" topLeftCell="A2" activePane="bottomLeft" state="frozen"/>
      <selection pane="bottomLeft" activeCell="D7" sqref="D7"/>
    </sheetView>
  </sheetViews>
  <sheetFormatPr defaultRowHeight="15" x14ac:dyDescent="0.25"/>
  <cols>
    <col min="1" max="1" width="1.85546875" customWidth="1"/>
    <col min="2" max="2" width="2.710937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x14ac:dyDescent="0.25">
      <c r="A1" s="29" t="str">
        <f>"Rekenhulp ambulant budget "&amp;YEAR(Lijsten!F2)</f>
        <v>Rekenhulp ambulant budget 2023</v>
      </c>
      <c r="E1" s="29"/>
      <c r="G1" s="29"/>
      <c r="H1" s="29"/>
      <c r="I1" s="29"/>
      <c r="J1" s="29"/>
    </row>
    <row r="2" spans="1:11" ht="14.45" customHeight="1" x14ac:dyDescent="0.25">
      <c r="D2" s="116">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16"/>
      <c r="F2" s="116"/>
      <c r="H2" s="117" t="s">
        <v>80</v>
      </c>
      <c r="I2" s="118"/>
      <c r="J2" s="41"/>
    </row>
    <row r="3" spans="1:11" ht="14.45" customHeight="1" x14ac:dyDescent="0.25">
      <c r="D3" s="116"/>
      <c r="E3" s="116"/>
      <c r="F3" s="116"/>
      <c r="H3" s="43" t="s">
        <v>30</v>
      </c>
      <c r="I3" s="60">
        <v>1000</v>
      </c>
      <c r="J3" s="42"/>
    </row>
    <row r="4" spans="1:11" ht="14.45" customHeight="1" x14ac:dyDescent="0.25">
      <c r="D4" s="116"/>
      <c r="E4" s="116"/>
      <c r="F4" s="116"/>
      <c r="H4" s="43" t="s">
        <v>31</v>
      </c>
      <c r="I4" s="60">
        <v>2000</v>
      </c>
      <c r="J4" s="42"/>
    </row>
    <row r="5" spans="1:11" ht="14.45" customHeight="1" x14ac:dyDescent="0.25">
      <c r="C5" s="7"/>
      <c r="D5" s="103" t="s">
        <v>227</v>
      </c>
      <c r="E5" s="6"/>
      <c r="F5" s="7"/>
      <c r="H5" s="43" t="s">
        <v>32</v>
      </c>
      <c r="I5" s="60">
        <v>3000</v>
      </c>
      <c r="J5" s="42"/>
      <c r="K5" s="8" t="s">
        <v>15</v>
      </c>
    </row>
    <row r="6" spans="1:11" x14ac:dyDescent="0.25">
      <c r="C6" s="7"/>
      <c r="D6" s="7"/>
      <c r="E6" s="129" t="str">
        <f>IF(AND(D8="Duurzaam",OR(AND(D17&lt;&gt;1,D17&lt;&gt;""),AND(D21&lt;&gt;1,D21&lt;&gt;""))),"Let op: geldigheid toewijzingen Duurzaam is altijd 1 jaar!","")</f>
        <v/>
      </c>
      <c r="F6" s="129"/>
      <c r="H6" s="43" t="s">
        <v>33</v>
      </c>
      <c r="I6" s="60">
        <v>5000</v>
      </c>
      <c r="J6" s="42"/>
      <c r="K6" s="48" t="s">
        <v>83</v>
      </c>
    </row>
    <row r="7" spans="1:11" ht="14.45" customHeight="1" x14ac:dyDescent="0.25">
      <c r="C7" s="7"/>
      <c r="D7" s="9" t="s">
        <v>16</v>
      </c>
      <c r="E7" s="129"/>
      <c r="F7" s="129"/>
      <c r="H7" s="43" t="s">
        <v>34</v>
      </c>
      <c r="I7" s="60">
        <v>8000</v>
      </c>
      <c r="J7" s="42"/>
      <c r="K7" s="10" t="s">
        <v>17</v>
      </c>
    </row>
    <row r="8" spans="1:11" x14ac:dyDescent="0.25">
      <c r="B8" s="12">
        <v>1</v>
      </c>
      <c r="C8" s="58" t="s">
        <v>18</v>
      </c>
      <c r="D8" s="109"/>
      <c r="E8" s="129"/>
      <c r="F8" s="129"/>
      <c r="H8" s="43" t="s">
        <v>35</v>
      </c>
      <c r="I8" s="60">
        <v>12000</v>
      </c>
      <c r="J8" s="42"/>
      <c r="K8" s="43" t="s">
        <v>19</v>
      </c>
    </row>
    <row r="9" spans="1:11" x14ac:dyDescent="0.25">
      <c r="B9" s="12">
        <v>2</v>
      </c>
      <c r="C9" s="58" t="s">
        <v>20</v>
      </c>
      <c r="D9" s="109"/>
      <c r="E9" s="7"/>
      <c r="F9" s="7"/>
      <c r="H9" s="43" t="s">
        <v>36</v>
      </c>
      <c r="I9" s="60">
        <v>15000</v>
      </c>
      <c r="J9" s="42"/>
      <c r="K9" s="49" t="s">
        <v>21</v>
      </c>
    </row>
    <row r="10" spans="1:11" x14ac:dyDescent="0.25">
      <c r="B10" s="12">
        <v>3</v>
      </c>
      <c r="C10" s="58" t="s">
        <v>102</v>
      </c>
      <c r="D10" s="109"/>
      <c r="H10" s="43" t="s">
        <v>37</v>
      </c>
      <c r="I10" s="60">
        <v>20000</v>
      </c>
      <c r="J10" s="42"/>
      <c r="K10" s="50" t="s">
        <v>22</v>
      </c>
    </row>
    <row r="11" spans="1:11" ht="14.45" customHeight="1" x14ac:dyDescent="0.25">
      <c r="B11" s="12">
        <v>4</v>
      </c>
      <c r="C11" s="59" t="s">
        <v>81</v>
      </c>
      <c r="D11" s="110"/>
      <c r="E11" t="s">
        <v>82</v>
      </c>
      <c r="G11" s="11"/>
      <c r="H11" s="9"/>
      <c r="I11" s="9"/>
      <c r="J11" s="9"/>
      <c r="K11" s="7"/>
    </row>
    <row r="12" spans="1:11" x14ac:dyDescent="0.25">
      <c r="G12" s="7"/>
      <c r="K12" s="7"/>
    </row>
    <row r="13" spans="1:11" x14ac:dyDescent="0.25">
      <c r="B13" s="12"/>
      <c r="C13" s="33" t="s">
        <v>23</v>
      </c>
      <c r="D13" s="104" t="s">
        <v>228</v>
      </c>
      <c r="E13" s="128" t="s">
        <v>70</v>
      </c>
      <c r="F13" s="128"/>
      <c r="G13" s="7"/>
      <c r="H13" s="125" t="str">
        <f>"Resultaattabel "&amp;(D8)</f>
        <v xml:space="preserve">Resultaattabel </v>
      </c>
      <c r="I13" s="126"/>
      <c r="J13" s="126"/>
      <c r="K13" s="127"/>
    </row>
    <row r="14" spans="1:11" x14ac:dyDescent="0.25">
      <c r="B14" s="55"/>
      <c r="C14" s="56" t="s">
        <v>90</v>
      </c>
      <c r="D14" s="57"/>
      <c r="E14" s="125"/>
      <c r="F14" s="127"/>
      <c r="G14" s="7"/>
      <c r="H14" s="119" t="str">
        <f>"Gegevens voor cliënt: "&amp;D11</f>
        <v xml:space="preserve">Gegevens voor cliënt: </v>
      </c>
      <c r="I14" s="120"/>
      <c r="J14" s="120"/>
      <c r="K14" s="121"/>
    </row>
    <row r="15" spans="1:11" x14ac:dyDescent="0.25">
      <c r="B15" s="12">
        <v>5</v>
      </c>
      <c r="C15" s="34" t="s">
        <v>185</v>
      </c>
      <c r="D15" s="73"/>
      <c r="E15" s="30" t="str">
        <f>IF(D15=1,"dag per","dagen per")</f>
        <v>dagen per</v>
      </c>
      <c r="F15" s="25"/>
      <c r="G15" s="7"/>
      <c r="H15" s="122" t="str">
        <f>"Groepsaanbod dagen per "&amp;F15</f>
        <v xml:space="preserve">Groepsaanbod dagen per </v>
      </c>
      <c r="I15" s="123"/>
      <c r="J15" s="124"/>
      <c r="K15" s="14">
        <f>D15</f>
        <v>0</v>
      </c>
    </row>
    <row r="16" spans="1:11" x14ac:dyDescent="0.25">
      <c r="B16" s="12">
        <v>6</v>
      </c>
      <c r="C16" s="35" t="s">
        <v>184</v>
      </c>
      <c r="D16" s="13"/>
      <c r="E16" s="30" t="s">
        <v>60</v>
      </c>
      <c r="F16" s="7"/>
      <c r="G16" s="7"/>
      <c r="H16" s="44" t="str">
        <f>"Uren groepsaanbod per "&amp;F15</f>
        <v xml:space="preserve">Uren groepsaanbod per </v>
      </c>
      <c r="I16" s="46"/>
      <c r="J16" s="45"/>
      <c r="K16" s="12">
        <f>IF(ISNUMBER(D27),D27,"")</f>
        <v>0</v>
      </c>
    </row>
    <row r="17" spans="1:11" x14ac:dyDescent="0.25">
      <c r="B17" s="12">
        <v>7</v>
      </c>
      <c r="C17" s="34" t="s">
        <v>51</v>
      </c>
      <c r="D17" s="13"/>
      <c r="E17" s="25"/>
      <c r="F17" s="7"/>
      <c r="G17" s="16"/>
      <c r="H17" s="44" t="str">
        <f>"Duur toewijzing ("&amp;E17&amp;")"</f>
        <v>Duur toewijzing ()</v>
      </c>
      <c r="I17" s="46"/>
      <c r="J17" s="45"/>
      <c r="K17" s="17">
        <f>D17</f>
        <v>0</v>
      </c>
    </row>
    <row r="18" spans="1:11" x14ac:dyDescent="0.25">
      <c r="B18" s="12">
        <v>8</v>
      </c>
      <c r="C18" s="34" t="str">
        <f>IF(AND(D18=Lijsten!$E$6,'Rekenhulp ambulant budget'!D8="duurzaam"),"Intensiteit groepsaanbod ('zwaar' alleen bij KDC's!!)","Intensiteit groepsaanbod")</f>
        <v>Intensiteit groepsaanbod</v>
      </c>
      <c r="D18" s="15"/>
      <c r="E18" s="16"/>
      <c r="F18" s="16"/>
      <c r="G18" s="16"/>
      <c r="H18" s="44" t="s">
        <v>72</v>
      </c>
      <c r="I18" s="46"/>
      <c r="J18" s="45"/>
      <c r="K18" s="19">
        <f>IFERROR(IF(ISNUMBER(D27),IF(F15=Lijsten!$K$24,D27,D27*D17*INDEX(vannaar,MATCH(F15,vannaara,0),MATCH(E17,vannaar1,0))),""),)</f>
        <v>0</v>
      </c>
    </row>
    <row r="19" spans="1:11" x14ac:dyDescent="0.25">
      <c r="B19" s="55"/>
      <c r="C19" s="57" t="s">
        <v>91</v>
      </c>
      <c r="D19" s="57"/>
      <c r="E19" s="16"/>
      <c r="F19" s="16"/>
      <c r="G19" s="16"/>
      <c r="H19" s="44" t="s">
        <v>24</v>
      </c>
      <c r="I19" s="46"/>
      <c r="J19" s="45"/>
      <c r="K19" s="20" t="str">
        <f>IF(D18&lt;&gt;"",RIGHT(D18,LEN(D18)),"")</f>
        <v/>
      </c>
    </row>
    <row r="20" spans="1:11" x14ac:dyDescent="0.25">
      <c r="B20" s="12">
        <v>9</v>
      </c>
      <c r="C20" s="34" t="s">
        <v>107</v>
      </c>
      <c r="D20" s="13"/>
      <c r="E20" s="13"/>
      <c r="F20" s="13"/>
      <c r="G20" s="18"/>
      <c r="H20" s="90" t="s">
        <v>25</v>
      </c>
      <c r="I20" s="91"/>
      <c r="J20" s="92"/>
      <c r="K20" s="94">
        <f>IF(ISNUMBER(D29),D29,"")</f>
        <v>0</v>
      </c>
    </row>
    <row r="21" spans="1:11" x14ac:dyDescent="0.25">
      <c r="B21" s="12">
        <v>10</v>
      </c>
      <c r="C21" s="34" t="s">
        <v>50</v>
      </c>
      <c r="D21" s="13"/>
      <c r="E21" s="51"/>
      <c r="F21" s="7"/>
      <c r="G21" s="7"/>
      <c r="H21" s="44" t="str">
        <f>IFERROR(REPLACE(LEFT(E20,LEN(E20)-4),1,1,UPPER(LEFT(E20,1)))&amp;" ambulante jeugdhulp per "&amp;F20,"")</f>
        <v/>
      </c>
      <c r="I21" s="46"/>
      <c r="J21" s="45"/>
      <c r="K21" s="14">
        <f>D20</f>
        <v>0</v>
      </c>
    </row>
    <row r="22" spans="1:11" x14ac:dyDescent="0.25">
      <c r="B22" s="12">
        <v>11</v>
      </c>
      <c r="C22" s="34" t="s">
        <v>110</v>
      </c>
      <c r="D22" s="52"/>
      <c r="E22" s="40"/>
      <c r="F22" s="40"/>
      <c r="G22" s="7"/>
      <c r="H22" s="44" t="str">
        <f>"Duur toewijzing ("&amp;E21&amp;")"</f>
        <v>Duur toewijzing ()</v>
      </c>
      <c r="I22" s="46"/>
      <c r="J22" s="45"/>
      <c r="K22" s="17">
        <f>D21</f>
        <v>0</v>
      </c>
    </row>
    <row r="23" spans="1:11" x14ac:dyDescent="0.25">
      <c r="B23" s="12">
        <v>12</v>
      </c>
      <c r="C23" s="36" t="str">
        <f>IF(E20=Lijsten!J3,"Gemiddeld rekentarief per minuut ambulante jeugdhulp","Gemiddeld uurtarief ambulante jeugdhulp")</f>
        <v>Gemiddeld uurtarief ambulante jeugdhulp</v>
      </c>
      <c r="D23" s="32" t="str">
        <f>IF($D$10="Nee","nvt (toewijzing zonder ambulante jeugdhulp)",IFERROR(INDEX(Lijsten!$B$3:$D$7,MATCH(D22,Perceel,0),1)/IF(E20=Lijsten!J3,60,1),""))</f>
        <v/>
      </c>
      <c r="E23" s="7"/>
      <c r="F23" s="7"/>
      <c r="G23" s="7"/>
      <c r="H23" s="44" t="str">
        <f>IFERROR(REPLACE(LEFT(E20,LEN(E20)-4),1,1,UPPER(LEFT(E20,1)))&amp;" beschikking ambulante jeugdhulp","Totaal beschikking ambulant")</f>
        <v>Totaal beschikking ambulant</v>
      </c>
      <c r="I23" s="46"/>
      <c r="J23" s="45"/>
      <c r="K23" s="101">
        <f>IFERROR(D30/D23,)</f>
        <v>0</v>
      </c>
    </row>
    <row r="24" spans="1:11" x14ac:dyDescent="0.25">
      <c r="A24" s="7"/>
      <c r="B24" s="12">
        <v>13</v>
      </c>
      <c r="C24" s="12" t="s">
        <v>183</v>
      </c>
      <c r="D24" s="47"/>
      <c r="E24" s="7" t="s">
        <v>82</v>
      </c>
      <c r="F24" s="7"/>
      <c r="G24" s="7"/>
      <c r="H24" s="44" t="s">
        <v>29</v>
      </c>
      <c r="I24" s="46"/>
      <c r="J24" s="45"/>
      <c r="K24" s="21" t="str">
        <f>IF(D24="",D23,D24)</f>
        <v/>
      </c>
    </row>
    <row r="25" spans="1:11" ht="15.75" thickBot="1" x14ac:dyDescent="0.3">
      <c r="E25" s="7"/>
      <c r="F25" s="7"/>
      <c r="G25" s="7"/>
      <c r="H25" s="90" t="s">
        <v>113</v>
      </c>
      <c r="I25" s="91"/>
      <c r="J25" s="92"/>
      <c r="K25" s="93">
        <f>IF(ISNUMBER(D30),D30,"")</f>
        <v>0</v>
      </c>
    </row>
    <row r="26" spans="1:11" ht="15.75" thickBot="1" x14ac:dyDescent="0.3">
      <c r="B26" s="87"/>
      <c r="C26" s="88" t="s">
        <v>26</v>
      </c>
      <c r="D26" s="105" t="s">
        <v>27</v>
      </c>
      <c r="E26" s="7"/>
      <c r="F26" s="7"/>
      <c r="G26" s="7"/>
      <c r="H26" s="65" t="s">
        <v>114</v>
      </c>
      <c r="I26" s="66"/>
      <c r="J26" s="67"/>
      <c r="K26" s="68">
        <f ca="1">IFERROR(IF(TODAY()&gt;Lijsten!F2,"Tarieven verouderd",IF(OR(D30&gt;0,D29&gt;0),D30+D29,0)),"")</f>
        <v>0</v>
      </c>
    </row>
    <row r="27" spans="1:11" x14ac:dyDescent="0.25">
      <c r="B27" s="12">
        <v>14</v>
      </c>
      <c r="C27" s="36" t="str">
        <f>"Uren per "&amp;F15&amp;" groepsaanbod"</f>
        <v>Uren per  groepsaanbod</v>
      </c>
      <c r="D27" s="106">
        <f>IF($D$9="Nee","nvt (toewijzing zonder groepsaanbod)",IF(COUNTA(D15:D16)=2,D15*D16,))</f>
        <v>0</v>
      </c>
      <c r="E27" s="7"/>
      <c r="F27" s="7"/>
      <c r="G27" s="22"/>
      <c r="H27" s="113" t="str">
        <f ca="1">Versiebeheer!A3&amp;" ("&amp;TEXT(Versiebeheer!A5,"dd-mm-jjjj")&amp;"). Timestamp berekening: "&amp;TEXT(NOW(),"d-m-jjjj uu:mm")</f>
        <v>Rekenhulp ambulant budget (21-12-2022). Timestamp berekening: 5-1-2023 10:45</v>
      </c>
      <c r="I27" s="114"/>
      <c r="J27" s="114"/>
      <c r="K27" s="115"/>
    </row>
    <row r="28" spans="1:11" ht="14.45" customHeight="1" x14ac:dyDescent="0.25">
      <c r="B28" s="12">
        <v>15</v>
      </c>
      <c r="C28" s="36" t="s">
        <v>28</v>
      </c>
      <c r="D28" s="107" t="str">
        <f>IF($D$9="Nee","nvt (toewijzing zonder groepsaanbod)",IFERROR(INDEX(Lijsten!$E$3:$F$7,MATCH(D18,duurzaam,0),2),""))</f>
        <v/>
      </c>
      <c r="E28" s="7"/>
      <c r="F28" s="7"/>
      <c r="G28" s="22"/>
    </row>
    <row r="29" spans="1:11" x14ac:dyDescent="0.25">
      <c r="B29" s="12">
        <v>16</v>
      </c>
      <c r="C29" s="37" t="s">
        <v>25</v>
      </c>
      <c r="D29" s="108">
        <f>IF($D$9="Nee","nvt (toewijzing zonder groepsaanbod)",IF(AND(ISNUMBER(D27),ISNUMBER(D17),ISNUMBER(D28)),IF(F15=Lijsten!K24,D27*D28,D17*D27*D28*INDEX(vannaar,MATCH(F15,vannaara,0),MATCH(E17,vannaar1,0))),))</f>
        <v>0</v>
      </c>
      <c r="E29" s="7"/>
      <c r="F29" s="7"/>
    </row>
    <row r="30" spans="1:11" x14ac:dyDescent="0.25">
      <c r="B30" s="12">
        <v>17</v>
      </c>
      <c r="C30" s="37" t="s">
        <v>115</v>
      </c>
      <c r="D30" s="23">
        <f>IF($D$10="Nee","nvt (toewijzing zonder ambulante jeugdhulp)",IF(COUNTA(D8,D20,D21,D22,E20,F20,E21)=7,IF(F20=Lijsten!K24,D20*IF(AND(D23&lt;&gt;0,D24&gt;0),D24,D23),D20*D21*IF(AND(D23&lt;&gt;0,D24&gt;0),D24,D23)*INDEX(vannaar,MATCH(F20,vannaara,0),MATCH(E21,vannaar1,0))),))</f>
        <v>0</v>
      </c>
      <c r="E30" s="7"/>
      <c r="F30" s="7"/>
    </row>
  </sheetData>
  <sheetProtection algorithmName="SHA-512" hashValue="Mf6zMHVpldIthW/S0YUHxkAsFR8ls54nONUqotWYZLFT1usSNcO6aLXR3rWQiZL2mLss6cUE5BxbMMUBxGev3Q==" saltValue="CNOLG0PMOISza6WHCIWM4A==" spinCount="100000" sheet="1" formatColumns="0" formatRows="0"/>
  <mergeCells count="9">
    <mergeCell ref="H27:K27"/>
    <mergeCell ref="D2:F4"/>
    <mergeCell ref="H2:I2"/>
    <mergeCell ref="H14:K14"/>
    <mergeCell ref="H15:J15"/>
    <mergeCell ref="H13:K13"/>
    <mergeCell ref="E13:F13"/>
    <mergeCell ref="E6:F8"/>
    <mergeCell ref="E14:F14"/>
  </mergeCells>
  <conditionalFormatting sqref="D21">
    <cfRule type="expression" dxfId="20" priority="72">
      <formula>AND(D8="Duurzaam",D21&lt;&gt;1,D21&lt;&gt;0)</formula>
    </cfRule>
  </conditionalFormatting>
  <conditionalFormatting sqref="D17">
    <cfRule type="expression" dxfId="19" priority="70">
      <formula>AND(D8="Duurzaam",D17&lt;&gt;1,D17&lt;&gt;0)</formula>
    </cfRule>
  </conditionalFormatting>
  <conditionalFormatting sqref="D15:D18 F15 D17:E17">
    <cfRule type="expression" dxfId="18" priority="34">
      <formula>OR($D$9="Nee",ISBLANK($D$9))</formula>
    </cfRule>
  </conditionalFormatting>
  <conditionalFormatting sqref="D20:D22 D24 E20:F20 E21">
    <cfRule type="expression" dxfId="17" priority="24">
      <formula>OR($D$10="Nee",ISBLANK($D$10))</formula>
    </cfRule>
  </conditionalFormatting>
  <conditionalFormatting sqref="C18:C19">
    <cfRule type="expression" dxfId="16" priority="66">
      <formula>C18="Intensiteit groepsaanbod ('zwaar' alleen bij KDC's!!)"</formula>
    </cfRule>
  </conditionalFormatting>
  <conditionalFormatting sqref="E20:F20">
    <cfRule type="expression" dxfId="15" priority="69">
      <formula>OR($D$9="Nee",ISBLANK($D$9))</formula>
    </cfRule>
  </conditionalFormatting>
  <conditionalFormatting sqref="E20:F20">
    <cfRule type="expression" dxfId="14" priority="37">
      <formula>OR($D$10="Nee",ISBLANK($D$10))</formula>
    </cfRule>
  </conditionalFormatting>
  <conditionalFormatting sqref="E17">
    <cfRule type="expression" dxfId="13" priority="25">
      <formula>NOT(ISBLANK(E17))</formula>
    </cfRule>
    <cfRule type="expression" dxfId="12" priority="27">
      <formula>ISBLANK(E17)</formula>
    </cfRule>
  </conditionalFormatting>
  <conditionalFormatting sqref="E17">
    <cfRule type="expression" dxfId="11" priority="26">
      <formula>OR($D$9="Nee",ISBLANK($D$9))</formula>
    </cfRule>
  </conditionalFormatting>
  <conditionalFormatting sqref="D15:D18 E20:F20 D8:D11 F15 D17:E17 D21:E21 D20:D22">
    <cfRule type="expression" dxfId="10" priority="73">
      <formula>NOT(ISBLANK(D8))</formula>
    </cfRule>
  </conditionalFormatting>
  <conditionalFormatting sqref="D24">
    <cfRule type="expression" dxfId="9" priority="16">
      <formula>OR($D$10="Nee",ISBLANK($D$10))</formula>
    </cfRule>
  </conditionalFormatting>
  <conditionalFormatting sqref="D24">
    <cfRule type="expression" dxfId="8" priority="15">
      <formula>NOT(ISBLANK(D24))</formula>
    </cfRule>
  </conditionalFormatting>
  <conditionalFormatting sqref="D15:D18 E20:F20 D8:D10 F15 D17:E17 D21:E21 D20:D22">
    <cfRule type="expression" dxfId="7" priority="67">
      <formula>ISBLANK(D8)</formula>
    </cfRule>
  </conditionalFormatting>
  <conditionalFormatting sqref="D11">
    <cfRule type="expression" dxfId="6" priority="12">
      <formula>D11=""</formula>
    </cfRule>
  </conditionalFormatting>
  <conditionalFormatting sqref="D24">
    <cfRule type="expression" dxfId="5" priority="11">
      <formula>NOT(ISBLANK(D24))</formula>
    </cfRule>
  </conditionalFormatting>
  <conditionalFormatting sqref="D21">
    <cfRule type="expression" dxfId="4" priority="3">
      <formula>AND(D12="Duurzaam",D21&lt;&gt;1,D21&lt;&gt;0)</formula>
    </cfRule>
  </conditionalFormatting>
  <dataValidations count="8">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4"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xm:sqref>
        </x14:conditionalFormatting>
        <x14:conditionalFormatting xmlns:xm="http://schemas.microsoft.com/office/excel/2006/main">
          <x14:cfRule type="expression" priority="28"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68"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13"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C8" sqref="C8"/>
    </sheetView>
  </sheetViews>
  <sheetFormatPr defaultColWidth="9.140625" defaultRowHeight="15" x14ac:dyDescent="0.25"/>
  <cols>
    <col min="1" max="1" width="4" style="61" bestFit="1" customWidth="1"/>
    <col min="2" max="2" width="15.85546875" style="61" customWidth="1"/>
    <col min="3" max="3" width="50.7109375" style="61" customWidth="1"/>
    <col min="4" max="4" width="13.5703125" style="61" customWidth="1"/>
    <col min="5" max="5" width="20.140625" style="61" customWidth="1"/>
    <col min="6" max="6" width="47" style="61" customWidth="1"/>
    <col min="7" max="7" width="15.28515625" style="61" customWidth="1"/>
    <col min="8" max="8" width="17.7109375" style="61" customWidth="1"/>
    <col min="9" max="9" width="14.7109375" style="61" customWidth="1"/>
    <col min="10" max="10" width="9.140625" style="61"/>
    <col min="11" max="16384" width="9.140625" style="54"/>
  </cols>
  <sheetData>
    <row r="1" spans="1:10" x14ac:dyDescent="0.25">
      <c r="H1" s="130" t="s">
        <v>136</v>
      </c>
      <c r="I1" s="130"/>
    </row>
    <row r="2" spans="1:10" s="53" customFormat="1" ht="30" x14ac:dyDescent="0.25">
      <c r="A2" s="63" t="s">
        <v>84</v>
      </c>
      <c r="B2" s="63" t="s">
        <v>85</v>
      </c>
      <c r="C2" s="63" t="s">
        <v>86</v>
      </c>
      <c r="D2" s="63" t="s">
        <v>105</v>
      </c>
      <c r="E2" s="63" t="s">
        <v>87</v>
      </c>
      <c r="F2" s="63" t="s">
        <v>89</v>
      </c>
      <c r="G2" s="63" t="s">
        <v>88</v>
      </c>
      <c r="H2" s="63" t="s">
        <v>137</v>
      </c>
      <c r="I2" s="63" t="s">
        <v>138</v>
      </c>
      <c r="J2" s="63" t="s">
        <v>157</v>
      </c>
    </row>
    <row r="3" spans="1:10" ht="45" x14ac:dyDescent="0.25">
      <c r="A3" s="61">
        <v>1</v>
      </c>
      <c r="B3" s="61" t="s">
        <v>92</v>
      </c>
      <c r="C3" s="61" t="s">
        <v>96</v>
      </c>
      <c r="E3" s="61" t="s">
        <v>95</v>
      </c>
      <c r="F3" s="62" t="s">
        <v>139</v>
      </c>
      <c r="G3" s="61" t="s">
        <v>142</v>
      </c>
      <c r="H3" s="61" t="s">
        <v>92</v>
      </c>
      <c r="I3" s="61" t="s">
        <v>106</v>
      </c>
      <c r="J3" s="61" t="s">
        <v>158</v>
      </c>
    </row>
    <row r="4" spans="1:10" x14ac:dyDescent="0.25">
      <c r="A4" s="84">
        <v>2</v>
      </c>
      <c r="B4" s="84" t="s">
        <v>92</v>
      </c>
      <c r="C4" s="84" t="s">
        <v>93</v>
      </c>
      <c r="D4" s="84"/>
      <c r="E4" s="84" t="s">
        <v>94</v>
      </c>
      <c r="F4" s="84" t="s">
        <v>140</v>
      </c>
      <c r="G4" s="84" t="s">
        <v>141</v>
      </c>
      <c r="H4" s="84"/>
      <c r="I4" s="89"/>
      <c r="J4" s="84"/>
    </row>
    <row r="5" spans="1:10" ht="90" x14ac:dyDescent="0.25">
      <c r="A5" s="61">
        <v>3</v>
      </c>
      <c r="B5" s="61" t="s">
        <v>92</v>
      </c>
      <c r="C5" s="61" t="s">
        <v>97</v>
      </c>
      <c r="E5" s="61" t="s">
        <v>144</v>
      </c>
      <c r="F5" s="61" t="s">
        <v>143</v>
      </c>
      <c r="G5" s="61" t="s">
        <v>142</v>
      </c>
      <c r="H5" s="61" t="s">
        <v>92</v>
      </c>
    </row>
    <row r="6" spans="1:10" ht="45" x14ac:dyDescent="0.25">
      <c r="A6" s="84">
        <v>4</v>
      </c>
      <c r="B6" s="84" t="s">
        <v>92</v>
      </c>
      <c r="C6" s="84" t="s">
        <v>98</v>
      </c>
      <c r="D6" s="84">
        <v>12</v>
      </c>
      <c r="E6" s="84" t="s">
        <v>99</v>
      </c>
      <c r="F6" s="84" t="s">
        <v>146</v>
      </c>
      <c r="G6" s="84" t="s">
        <v>145</v>
      </c>
      <c r="H6" s="84"/>
      <c r="I6" s="89"/>
      <c r="J6" s="84" t="s">
        <v>165</v>
      </c>
    </row>
    <row r="7" spans="1:10" ht="45" x14ac:dyDescent="0.25">
      <c r="A7" s="61">
        <v>5</v>
      </c>
      <c r="B7" s="61" t="s">
        <v>106</v>
      </c>
      <c r="C7" s="61" t="s">
        <v>108</v>
      </c>
      <c r="D7" s="61" t="s">
        <v>109</v>
      </c>
      <c r="F7" s="61" t="s">
        <v>166</v>
      </c>
      <c r="G7" s="61" t="s">
        <v>142</v>
      </c>
      <c r="I7" s="61" t="s">
        <v>106</v>
      </c>
    </row>
    <row r="8" spans="1:10" ht="30" x14ac:dyDescent="0.25">
      <c r="A8" s="61">
        <v>6</v>
      </c>
      <c r="B8" s="61" t="s">
        <v>101</v>
      </c>
      <c r="C8" s="61" t="s">
        <v>119</v>
      </c>
      <c r="E8" s="61" t="s">
        <v>120</v>
      </c>
      <c r="F8" s="61" t="s">
        <v>147</v>
      </c>
      <c r="G8" s="61" t="s">
        <v>142</v>
      </c>
      <c r="H8" s="61" t="s">
        <v>92</v>
      </c>
      <c r="J8" s="61" t="s">
        <v>158</v>
      </c>
    </row>
    <row r="9" spans="1:10" ht="75" x14ac:dyDescent="0.25">
      <c r="A9" s="61">
        <v>7</v>
      </c>
      <c r="B9" s="61" t="s">
        <v>101</v>
      </c>
      <c r="C9" s="69" t="s">
        <v>149</v>
      </c>
      <c r="E9" s="61" t="s">
        <v>121</v>
      </c>
      <c r="F9" s="61" t="s">
        <v>148</v>
      </c>
      <c r="G9" s="61" t="s">
        <v>142</v>
      </c>
      <c r="H9" s="61" t="s">
        <v>92</v>
      </c>
    </row>
    <row r="10" spans="1:10" ht="90" x14ac:dyDescent="0.25">
      <c r="A10" s="84">
        <v>8</v>
      </c>
      <c r="B10" s="84" t="s">
        <v>101</v>
      </c>
      <c r="C10" s="84" t="s">
        <v>150</v>
      </c>
      <c r="D10" s="84"/>
      <c r="E10" s="84"/>
      <c r="F10" s="84" t="s">
        <v>153</v>
      </c>
      <c r="G10" s="84" t="s">
        <v>141</v>
      </c>
      <c r="H10" s="84"/>
      <c r="I10" s="89"/>
      <c r="J10" s="84"/>
    </row>
    <row r="11" spans="1:10" ht="60" x14ac:dyDescent="0.25">
      <c r="A11" s="61">
        <v>9</v>
      </c>
      <c r="B11" s="61" t="s">
        <v>122</v>
      </c>
      <c r="C11" s="61" t="s">
        <v>123</v>
      </c>
      <c r="F11" s="61" t="s">
        <v>167</v>
      </c>
      <c r="G11" s="61" t="s">
        <v>141</v>
      </c>
      <c r="H11" s="61" t="s">
        <v>92</v>
      </c>
      <c r="I11" s="64"/>
    </row>
    <row r="12" spans="1:10" x14ac:dyDescent="0.25">
      <c r="A12" s="61">
        <v>10</v>
      </c>
      <c r="B12" s="61" t="s">
        <v>122</v>
      </c>
      <c r="C12" s="61" t="s">
        <v>124</v>
      </c>
      <c r="D12" s="61">
        <v>7</v>
      </c>
      <c r="E12" s="61" t="s">
        <v>131</v>
      </c>
      <c r="F12" s="61" t="s">
        <v>156</v>
      </c>
      <c r="G12" s="61" t="s">
        <v>142</v>
      </c>
      <c r="I12" s="61" t="s">
        <v>106</v>
      </c>
      <c r="J12" s="61" t="s">
        <v>158</v>
      </c>
    </row>
    <row r="13" spans="1:10" x14ac:dyDescent="0.25">
      <c r="A13" s="61">
        <v>11</v>
      </c>
      <c r="B13" s="61" t="s">
        <v>122</v>
      </c>
      <c r="C13" s="61" t="s">
        <v>125</v>
      </c>
      <c r="D13" s="61">
        <v>12</v>
      </c>
      <c r="F13" s="61" t="s">
        <v>154</v>
      </c>
      <c r="G13" s="61" t="s">
        <v>142</v>
      </c>
      <c r="I13" s="61" t="s">
        <v>106</v>
      </c>
      <c r="J13" s="61" t="s">
        <v>158</v>
      </c>
    </row>
    <row r="14" spans="1:10" ht="30" x14ac:dyDescent="0.25">
      <c r="A14" s="84">
        <v>12</v>
      </c>
      <c r="B14" s="84" t="s">
        <v>122</v>
      </c>
      <c r="C14" s="84" t="s">
        <v>126</v>
      </c>
      <c r="D14" s="84">
        <v>4</v>
      </c>
      <c r="E14" s="84" t="s">
        <v>155</v>
      </c>
      <c r="F14" s="84" t="s">
        <v>168</v>
      </c>
      <c r="G14" s="84" t="s">
        <v>145</v>
      </c>
      <c r="H14" s="84"/>
      <c r="I14" s="89"/>
      <c r="J14" s="84"/>
    </row>
    <row r="15" spans="1:10" ht="30" x14ac:dyDescent="0.25">
      <c r="A15" s="61">
        <v>13</v>
      </c>
      <c r="B15" s="61" t="s">
        <v>127</v>
      </c>
      <c r="C15" s="61" t="s">
        <v>128</v>
      </c>
      <c r="E15" s="61" t="s">
        <v>129</v>
      </c>
      <c r="F15" s="61" t="s">
        <v>169</v>
      </c>
      <c r="G15" s="61" t="s">
        <v>142</v>
      </c>
      <c r="H15" s="61" t="s">
        <v>92</v>
      </c>
    </row>
    <row r="16" spans="1:10" x14ac:dyDescent="0.25">
      <c r="A16" s="61">
        <v>14</v>
      </c>
      <c r="B16" s="61" t="s">
        <v>127</v>
      </c>
      <c r="C16" s="61" t="s">
        <v>130</v>
      </c>
      <c r="D16" s="61">
        <v>7</v>
      </c>
      <c r="E16" s="61" t="s">
        <v>131</v>
      </c>
      <c r="F16" s="61" t="s">
        <v>156</v>
      </c>
      <c r="G16" s="61" t="s">
        <v>142</v>
      </c>
      <c r="I16" s="61" t="s">
        <v>106</v>
      </c>
      <c r="J16" s="61" t="s">
        <v>158</v>
      </c>
    </row>
    <row r="17" spans="1:10" ht="30" x14ac:dyDescent="0.25">
      <c r="A17" s="61">
        <v>15</v>
      </c>
      <c r="B17" s="61" t="s">
        <v>127</v>
      </c>
      <c r="C17" s="61" t="s">
        <v>132</v>
      </c>
      <c r="E17" s="61" t="s">
        <v>133</v>
      </c>
      <c r="F17" s="62" t="s">
        <v>139</v>
      </c>
      <c r="G17" s="61" t="s">
        <v>142</v>
      </c>
      <c r="H17" s="61" t="s">
        <v>92</v>
      </c>
      <c r="I17" s="61" t="s">
        <v>106</v>
      </c>
      <c r="J17" s="61" t="s">
        <v>158</v>
      </c>
    </row>
    <row r="18" spans="1:10" ht="30" x14ac:dyDescent="0.25">
      <c r="A18" s="84">
        <v>16</v>
      </c>
      <c r="B18" s="84" t="s">
        <v>92</v>
      </c>
      <c r="C18" s="84" t="s">
        <v>151</v>
      </c>
      <c r="D18" s="84"/>
      <c r="E18" s="84"/>
      <c r="F18" s="84" t="s">
        <v>152</v>
      </c>
      <c r="G18" s="84" t="s">
        <v>141</v>
      </c>
      <c r="H18" s="84" t="s">
        <v>92</v>
      </c>
      <c r="I18" s="89"/>
      <c r="J18" s="84"/>
    </row>
    <row r="19" spans="1:10" ht="30" x14ac:dyDescent="0.25">
      <c r="A19" s="61">
        <v>17</v>
      </c>
      <c r="B19" s="61" t="s">
        <v>92</v>
      </c>
      <c r="C19" s="61" t="s">
        <v>179</v>
      </c>
      <c r="F19" s="61" t="s">
        <v>180</v>
      </c>
      <c r="G19" s="61" t="s">
        <v>141</v>
      </c>
      <c r="H19" s="61" t="s">
        <v>92</v>
      </c>
      <c r="I19" s="64"/>
    </row>
    <row r="20" spans="1:10" x14ac:dyDescent="0.25">
      <c r="A20" s="61">
        <v>18</v>
      </c>
      <c r="I20" s="64"/>
    </row>
    <row r="21" spans="1:10" x14ac:dyDescent="0.25">
      <c r="A21" s="61">
        <v>19</v>
      </c>
      <c r="I21" s="64"/>
    </row>
    <row r="22" spans="1:10" x14ac:dyDescent="0.25">
      <c r="A22" s="61">
        <v>20</v>
      </c>
      <c r="I22" s="64"/>
    </row>
    <row r="23" spans="1:10" x14ac:dyDescent="0.25">
      <c r="A23" s="61">
        <v>21</v>
      </c>
      <c r="I23" s="64"/>
    </row>
    <row r="24" spans="1:10" x14ac:dyDescent="0.25">
      <c r="A24" s="61">
        <v>22</v>
      </c>
      <c r="I24" s="64"/>
    </row>
    <row r="25" spans="1:10" x14ac:dyDescent="0.25">
      <c r="A25" s="61">
        <v>23</v>
      </c>
      <c r="I25" s="64"/>
    </row>
    <row r="26" spans="1:10" x14ac:dyDescent="0.25">
      <c r="A26" s="61">
        <v>24</v>
      </c>
      <c r="I26" s="64"/>
    </row>
    <row r="27" spans="1:10" x14ac:dyDescent="0.25">
      <c r="A27" s="61">
        <v>25</v>
      </c>
      <c r="I27" s="64"/>
    </row>
    <row r="28" spans="1:10" x14ac:dyDescent="0.25">
      <c r="A28" s="61">
        <v>26</v>
      </c>
      <c r="I28" s="64"/>
    </row>
    <row r="29" spans="1:10" x14ac:dyDescent="0.25">
      <c r="A29" s="61">
        <v>27</v>
      </c>
      <c r="I29" s="64"/>
    </row>
    <row r="30" spans="1:10" x14ac:dyDescent="0.25">
      <c r="A30" s="61">
        <v>28</v>
      </c>
      <c r="I30" s="64"/>
    </row>
    <row r="31" spans="1:10" x14ac:dyDescent="0.25">
      <c r="A31" s="61">
        <v>29</v>
      </c>
      <c r="I31" s="64"/>
    </row>
    <row r="32" spans="1:10" x14ac:dyDescent="0.25">
      <c r="A32" s="61">
        <v>30</v>
      </c>
      <c r="I32" s="64"/>
    </row>
    <row r="33" spans="1:9" x14ac:dyDescent="0.25">
      <c r="A33" s="61">
        <v>31</v>
      </c>
      <c r="I33" s="64"/>
    </row>
    <row r="34" spans="1:9" x14ac:dyDescent="0.25">
      <c r="A34" s="61">
        <v>32</v>
      </c>
      <c r="I34" s="64"/>
    </row>
    <row r="35" spans="1:9" x14ac:dyDescent="0.25">
      <c r="A35" s="61">
        <v>33</v>
      </c>
      <c r="I35" s="64"/>
    </row>
    <row r="36" spans="1:9" x14ac:dyDescent="0.25">
      <c r="A36" s="61">
        <v>34</v>
      </c>
      <c r="I36" s="64"/>
    </row>
    <row r="37" spans="1:9" x14ac:dyDescent="0.25">
      <c r="A37" s="61">
        <v>35</v>
      </c>
      <c r="I37" s="64"/>
    </row>
    <row r="38" spans="1:9" x14ac:dyDescent="0.25">
      <c r="A38" s="61">
        <v>36</v>
      </c>
      <c r="I38" s="64"/>
    </row>
    <row r="39" spans="1:9" x14ac:dyDescent="0.25">
      <c r="A39" s="61">
        <v>37</v>
      </c>
      <c r="I39" s="64"/>
    </row>
    <row r="40" spans="1:9" x14ac:dyDescent="0.25">
      <c r="A40" s="61">
        <v>38</v>
      </c>
      <c r="I40" s="64"/>
    </row>
    <row r="41" spans="1:9" x14ac:dyDescent="0.25">
      <c r="A41" s="61">
        <v>39</v>
      </c>
      <c r="I41" s="64"/>
    </row>
    <row r="42" spans="1:9" x14ac:dyDescent="0.25">
      <c r="A42" s="61">
        <v>40</v>
      </c>
      <c r="I42" s="64"/>
    </row>
    <row r="43" spans="1:9" x14ac:dyDescent="0.25">
      <c r="A43" s="61">
        <v>41</v>
      </c>
      <c r="I43" s="64"/>
    </row>
    <row r="44" spans="1:9" x14ac:dyDescent="0.25">
      <c r="A44" s="61">
        <v>42</v>
      </c>
      <c r="I44" s="64"/>
    </row>
    <row r="45" spans="1:9" x14ac:dyDescent="0.25">
      <c r="A45" s="61">
        <v>43</v>
      </c>
      <c r="I45" s="64"/>
    </row>
    <row r="46" spans="1:9" x14ac:dyDescent="0.25">
      <c r="A46" s="61">
        <v>44</v>
      </c>
      <c r="I46" s="64"/>
    </row>
    <row r="47" spans="1:9" x14ac:dyDescent="0.25">
      <c r="A47" s="61">
        <v>45</v>
      </c>
      <c r="I47" s="64"/>
    </row>
    <row r="48" spans="1:9" x14ac:dyDescent="0.25">
      <c r="A48" s="61">
        <v>46</v>
      </c>
      <c r="I48" s="64"/>
    </row>
    <row r="49" spans="1:9" x14ac:dyDescent="0.25">
      <c r="A49" s="61">
        <v>47</v>
      </c>
      <c r="I49" s="64"/>
    </row>
    <row r="50" spans="1:9" x14ac:dyDescent="0.25">
      <c r="A50" s="61">
        <v>48</v>
      </c>
      <c r="I50" s="64"/>
    </row>
    <row r="51" spans="1:9" x14ac:dyDescent="0.25">
      <c r="A51" s="61">
        <v>49</v>
      </c>
      <c r="I51" s="64"/>
    </row>
    <row r="52" spans="1:9" x14ac:dyDescent="0.25">
      <c r="A52" s="61">
        <v>50</v>
      </c>
      <c r="I52" s="64"/>
    </row>
    <row r="53" spans="1:9" x14ac:dyDescent="0.25">
      <c r="A53" s="61">
        <v>51</v>
      </c>
      <c r="I53" s="64"/>
    </row>
    <row r="54" spans="1:9" x14ac:dyDescent="0.25">
      <c r="A54" s="61">
        <v>52</v>
      </c>
      <c r="I54" s="64"/>
    </row>
    <row r="55" spans="1:9" x14ac:dyDescent="0.25">
      <c r="A55" s="61">
        <v>53</v>
      </c>
      <c r="I55" s="64"/>
    </row>
    <row r="56" spans="1:9" x14ac:dyDescent="0.25">
      <c r="A56" s="61">
        <v>54</v>
      </c>
      <c r="I56" s="64"/>
    </row>
    <row r="57" spans="1:9" x14ac:dyDescent="0.25">
      <c r="A57" s="61">
        <v>55</v>
      </c>
      <c r="I57" s="64"/>
    </row>
    <row r="58" spans="1:9" x14ac:dyDescent="0.25">
      <c r="A58" s="61">
        <v>56</v>
      </c>
      <c r="I58" s="64"/>
    </row>
    <row r="59" spans="1:9" x14ac:dyDescent="0.25">
      <c r="A59" s="61">
        <v>57</v>
      </c>
      <c r="I59" s="64"/>
    </row>
    <row r="60" spans="1:9" x14ac:dyDescent="0.25">
      <c r="A60" s="61">
        <v>58</v>
      </c>
      <c r="I60" s="64"/>
    </row>
    <row r="61" spans="1:9" x14ac:dyDescent="0.25">
      <c r="A61" s="61">
        <v>59</v>
      </c>
      <c r="I61" s="64"/>
    </row>
    <row r="62" spans="1:9" x14ac:dyDescent="0.25">
      <c r="A62" s="61">
        <v>60</v>
      </c>
      <c r="I62" s="64"/>
    </row>
    <row r="63" spans="1:9" x14ac:dyDescent="0.25">
      <c r="A63" s="61">
        <v>61</v>
      </c>
      <c r="I63" s="64"/>
    </row>
    <row r="64" spans="1:9" x14ac:dyDescent="0.25">
      <c r="A64" s="61">
        <v>62</v>
      </c>
      <c r="I64" s="64"/>
    </row>
    <row r="65" spans="1:9" x14ac:dyDescent="0.25">
      <c r="A65" s="61">
        <v>63</v>
      </c>
      <c r="I65" s="64"/>
    </row>
    <row r="66" spans="1:9" x14ac:dyDescent="0.25">
      <c r="A66" s="61">
        <v>64</v>
      </c>
      <c r="I66" s="64"/>
    </row>
    <row r="67" spans="1:9" x14ac:dyDescent="0.25">
      <c r="A67" s="61">
        <v>65</v>
      </c>
      <c r="I67" s="64"/>
    </row>
    <row r="68" spans="1:9" x14ac:dyDescent="0.25">
      <c r="A68" s="61">
        <v>66</v>
      </c>
      <c r="I68" s="64"/>
    </row>
    <row r="69" spans="1:9" x14ac:dyDescent="0.25">
      <c r="A69" s="61">
        <v>67</v>
      </c>
      <c r="I69" s="64"/>
    </row>
    <row r="70" spans="1:9" x14ac:dyDescent="0.25">
      <c r="A70" s="61">
        <v>68</v>
      </c>
      <c r="I70" s="64"/>
    </row>
    <row r="71" spans="1:9" x14ac:dyDescent="0.25">
      <c r="A71" s="61">
        <v>69</v>
      </c>
      <c r="I71" s="64"/>
    </row>
    <row r="72" spans="1:9" x14ac:dyDescent="0.25">
      <c r="A72" s="61">
        <v>70</v>
      </c>
      <c r="I72" s="64"/>
    </row>
    <row r="73" spans="1:9" x14ac:dyDescent="0.25">
      <c r="A73" s="61">
        <v>71</v>
      </c>
      <c r="I73" s="64"/>
    </row>
    <row r="74" spans="1:9" x14ac:dyDescent="0.25">
      <c r="A74" s="61">
        <v>72</v>
      </c>
      <c r="I74" s="64"/>
    </row>
    <row r="75" spans="1:9" x14ac:dyDescent="0.25">
      <c r="A75" s="61">
        <v>73</v>
      </c>
      <c r="I75" s="64"/>
    </row>
    <row r="76" spans="1:9" x14ac:dyDescent="0.25">
      <c r="A76" s="61">
        <v>74</v>
      </c>
      <c r="I76" s="64"/>
    </row>
    <row r="77" spans="1:9" x14ac:dyDescent="0.25">
      <c r="A77" s="61">
        <v>75</v>
      </c>
      <c r="I77" s="64"/>
    </row>
    <row r="78" spans="1:9" x14ac:dyDescent="0.25">
      <c r="A78" s="61">
        <v>76</v>
      </c>
      <c r="I78" s="64"/>
    </row>
    <row r="79" spans="1:9" x14ac:dyDescent="0.25">
      <c r="A79" s="61">
        <v>77</v>
      </c>
      <c r="I79" s="64"/>
    </row>
    <row r="80" spans="1:9" x14ac:dyDescent="0.25">
      <c r="A80" s="61">
        <v>78</v>
      </c>
      <c r="I80" s="64"/>
    </row>
    <row r="81" spans="1:9" x14ac:dyDescent="0.25">
      <c r="A81" s="61">
        <v>79</v>
      </c>
      <c r="I81" s="64"/>
    </row>
    <row r="82" spans="1:9" x14ac:dyDescent="0.25">
      <c r="A82" s="61">
        <v>80</v>
      </c>
      <c r="I82" s="64"/>
    </row>
    <row r="83" spans="1:9" x14ac:dyDescent="0.25">
      <c r="A83" s="61">
        <v>81</v>
      </c>
      <c r="I83" s="64"/>
    </row>
    <row r="84" spans="1:9" x14ac:dyDescent="0.25">
      <c r="A84" s="61">
        <v>82</v>
      </c>
      <c r="I84" s="64"/>
    </row>
    <row r="85" spans="1:9" x14ac:dyDescent="0.25">
      <c r="A85" s="61">
        <v>83</v>
      </c>
      <c r="H85" s="54"/>
      <c r="I85" s="54"/>
    </row>
    <row r="86" spans="1:9" x14ac:dyDescent="0.25">
      <c r="A86" s="61">
        <v>84</v>
      </c>
      <c r="H86" s="54"/>
      <c r="I86" s="54"/>
    </row>
    <row r="87" spans="1:9" x14ac:dyDescent="0.25">
      <c r="A87" s="61">
        <v>85</v>
      </c>
      <c r="H87" s="54"/>
      <c r="I87" s="54"/>
    </row>
    <row r="88" spans="1:9" x14ac:dyDescent="0.25">
      <c r="A88" s="61">
        <v>86</v>
      </c>
      <c r="H88" s="54"/>
      <c r="I88" s="54"/>
    </row>
    <row r="89" spans="1:9" x14ac:dyDescent="0.25">
      <c r="A89" s="61">
        <v>87</v>
      </c>
      <c r="H89" s="54"/>
      <c r="I89" s="54"/>
    </row>
    <row r="90" spans="1:9" x14ac:dyDescent="0.25">
      <c r="A90" s="61">
        <v>88</v>
      </c>
      <c r="H90" s="54"/>
      <c r="I90" s="54"/>
    </row>
    <row r="91" spans="1:9" x14ac:dyDescent="0.25">
      <c r="A91" s="61">
        <v>89</v>
      </c>
      <c r="H91" s="54"/>
      <c r="I91" s="54"/>
    </row>
    <row r="92" spans="1:9" x14ac:dyDescent="0.25">
      <c r="A92" s="61">
        <v>90</v>
      </c>
      <c r="H92" s="54"/>
      <c r="I92" s="54"/>
    </row>
    <row r="93" spans="1:9" x14ac:dyDescent="0.25">
      <c r="A93" s="61">
        <v>91</v>
      </c>
      <c r="H93" s="54"/>
      <c r="I93" s="54"/>
    </row>
    <row r="94" spans="1:9" x14ac:dyDescent="0.25">
      <c r="A94" s="61">
        <v>92</v>
      </c>
      <c r="H94" s="54"/>
      <c r="I94" s="54"/>
    </row>
    <row r="95" spans="1:9" x14ac:dyDescent="0.25">
      <c r="A95" s="61">
        <v>93</v>
      </c>
      <c r="H95" s="54"/>
      <c r="I95" s="54"/>
    </row>
    <row r="96" spans="1:9" x14ac:dyDescent="0.25">
      <c r="A96" s="61">
        <v>94</v>
      </c>
      <c r="H96" s="54"/>
      <c r="I96" s="54"/>
    </row>
    <row r="97" spans="1:9" x14ac:dyDescent="0.25">
      <c r="A97" s="61">
        <v>95</v>
      </c>
      <c r="H97" s="54"/>
      <c r="I97" s="54"/>
    </row>
    <row r="98" spans="1:9" x14ac:dyDescent="0.25">
      <c r="A98" s="61">
        <v>96</v>
      </c>
      <c r="H98" s="54"/>
      <c r="I98" s="54"/>
    </row>
    <row r="99" spans="1:9" x14ac:dyDescent="0.25">
      <c r="A99" s="61">
        <v>97</v>
      </c>
      <c r="H99" s="54"/>
      <c r="I99" s="54"/>
    </row>
    <row r="100" spans="1:9" x14ac:dyDescent="0.25">
      <c r="A100" s="61">
        <v>98</v>
      </c>
      <c r="H100" s="54"/>
      <c r="I100" s="54"/>
    </row>
    <row r="101" spans="1:9" x14ac:dyDescent="0.25">
      <c r="A101" s="61">
        <v>99</v>
      </c>
      <c r="H101" s="54"/>
      <c r="I101" s="54"/>
    </row>
    <row r="102" spans="1:9" x14ac:dyDescent="0.25">
      <c r="A102" s="61">
        <v>100</v>
      </c>
      <c r="H102" s="54"/>
      <c r="I102" s="54"/>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T24"/>
  <sheetViews>
    <sheetView topLeftCell="E1" zoomScale="80" zoomScaleNormal="80" workbookViewId="0">
      <selection activeCell="K25" sqref="K25"/>
    </sheetView>
  </sheetViews>
  <sheetFormatPr defaultRowHeight="15" x14ac:dyDescent="0.25"/>
  <cols>
    <col min="2" max="2" width="11.7109375" bestFit="1" customWidth="1"/>
    <col min="3" max="3" width="6.28515625" bestFit="1" customWidth="1"/>
    <col min="4" max="4" width="44.7109375" bestFit="1" customWidth="1"/>
    <col min="5" max="5" width="34.710937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s>
  <sheetData>
    <row r="1" spans="2:20" x14ac:dyDescent="0.25">
      <c r="F1" s="4" t="s">
        <v>2</v>
      </c>
    </row>
    <row r="2" spans="2:20" x14ac:dyDescent="0.25">
      <c r="B2" s="1" t="s">
        <v>3</v>
      </c>
      <c r="C2" s="1"/>
      <c r="E2" t="s">
        <v>4</v>
      </c>
      <c r="F2" s="5">
        <v>45291</v>
      </c>
      <c r="G2" s="3"/>
      <c r="H2" s="3" t="s">
        <v>38</v>
      </c>
      <c r="I2" s="3"/>
      <c r="J2" s="3" t="s">
        <v>47</v>
      </c>
      <c r="L2" t="s">
        <v>46</v>
      </c>
      <c r="N2" t="s">
        <v>52</v>
      </c>
      <c r="P2" t="s">
        <v>53</v>
      </c>
      <c r="S2" t="s">
        <v>67</v>
      </c>
      <c r="T2" t="s">
        <v>79</v>
      </c>
    </row>
    <row r="3" spans="2:20" x14ac:dyDescent="0.25">
      <c r="B3" s="2">
        <v>85</v>
      </c>
      <c r="C3" s="2">
        <v>1.4166666666666667</v>
      </c>
      <c r="D3" t="s">
        <v>170</v>
      </c>
      <c r="E3" t="s">
        <v>175</v>
      </c>
      <c r="F3" s="2">
        <v>14.281461863173044</v>
      </c>
      <c r="G3" t="s">
        <v>5</v>
      </c>
      <c r="H3" t="s">
        <v>48</v>
      </c>
      <c r="J3" t="s">
        <v>69</v>
      </c>
      <c r="L3">
        <v>7</v>
      </c>
      <c r="N3" t="s">
        <v>44</v>
      </c>
      <c r="P3" s="26" t="s">
        <v>48</v>
      </c>
      <c r="R3" s="26" t="s">
        <v>38</v>
      </c>
      <c r="S3" t="s">
        <v>60</v>
      </c>
      <c r="T3" t="s">
        <v>74</v>
      </c>
    </row>
    <row r="4" spans="2:20" x14ac:dyDescent="0.25">
      <c r="B4" s="2">
        <v>90</v>
      </c>
      <c r="C4" s="2">
        <v>1.5</v>
      </c>
      <c r="D4" t="s">
        <v>171</v>
      </c>
      <c r="E4" t="s">
        <v>176</v>
      </c>
      <c r="F4" s="2">
        <v>18.664198090324522</v>
      </c>
      <c r="G4" t="s">
        <v>6</v>
      </c>
      <c r="H4" t="s">
        <v>49</v>
      </c>
      <c r="J4" t="s">
        <v>68</v>
      </c>
      <c r="L4">
        <v>1</v>
      </c>
      <c r="P4" s="26" t="s">
        <v>56</v>
      </c>
      <c r="R4" s="26" t="s">
        <v>39</v>
      </c>
      <c r="S4" t="s">
        <v>61</v>
      </c>
      <c r="T4" t="s">
        <v>75</v>
      </c>
    </row>
    <row r="5" spans="2:20" x14ac:dyDescent="0.25">
      <c r="B5" s="2">
        <v>95</v>
      </c>
      <c r="C5" s="2">
        <v>1.5833333333333333</v>
      </c>
      <c r="D5" t="s">
        <v>172</v>
      </c>
      <c r="E5" t="s">
        <v>177</v>
      </c>
      <c r="F5" s="2">
        <v>27.170006606891434</v>
      </c>
      <c r="G5" t="s">
        <v>7</v>
      </c>
      <c r="L5">
        <v>0.25</v>
      </c>
      <c r="P5" s="26" t="s">
        <v>71</v>
      </c>
      <c r="R5" s="26" t="s">
        <v>40</v>
      </c>
      <c r="S5" t="s">
        <v>62</v>
      </c>
      <c r="T5" t="s">
        <v>76</v>
      </c>
    </row>
    <row r="6" spans="2:20" x14ac:dyDescent="0.25">
      <c r="B6" s="2">
        <v>120</v>
      </c>
      <c r="C6" s="2">
        <v>2</v>
      </c>
      <c r="D6" t="s">
        <v>173</v>
      </c>
      <c r="E6" t="s">
        <v>178</v>
      </c>
      <c r="F6" s="2">
        <v>34.426595246227514</v>
      </c>
      <c r="G6" t="s">
        <v>8</v>
      </c>
      <c r="L6" s="24">
        <f>1/(365/12/7)</f>
        <v>0.23013698630136983</v>
      </c>
      <c r="M6">
        <f>52*L6</f>
        <v>11.967123287671232</v>
      </c>
      <c r="P6" s="26" t="s">
        <v>57</v>
      </c>
      <c r="R6" s="26" t="s">
        <v>41</v>
      </c>
      <c r="S6" t="s">
        <v>63</v>
      </c>
      <c r="T6" t="s">
        <v>77</v>
      </c>
    </row>
    <row r="7" spans="2:20" x14ac:dyDescent="0.25">
      <c r="B7" s="2">
        <v>130</v>
      </c>
      <c r="C7" s="2">
        <v>2.1666666666666665</v>
      </c>
      <c r="D7" t="s">
        <v>174</v>
      </c>
      <c r="G7" t="s">
        <v>9</v>
      </c>
      <c r="L7">
        <f>1/(52/4)</f>
        <v>7.6923076923076927E-2</v>
      </c>
      <c r="P7" s="26" t="s">
        <v>58</v>
      </c>
      <c r="R7" s="26" t="s">
        <v>42</v>
      </c>
      <c r="S7" t="s">
        <v>64</v>
      </c>
      <c r="T7" t="s">
        <v>78</v>
      </c>
    </row>
    <row r="8" spans="2:20" x14ac:dyDescent="0.25">
      <c r="G8" t="s">
        <v>10</v>
      </c>
      <c r="L8">
        <f>1/(52/2)</f>
        <v>3.8461538461538464E-2</v>
      </c>
      <c r="P8" s="26" t="s">
        <v>59</v>
      </c>
      <c r="R8" s="26" t="s">
        <v>43</v>
      </c>
      <c r="S8" t="s">
        <v>65</v>
      </c>
    </row>
    <row r="9" spans="2:20" x14ac:dyDescent="0.25">
      <c r="G9" t="s">
        <v>11</v>
      </c>
      <c r="L9">
        <f>1/52</f>
        <v>1.9230769230769232E-2</v>
      </c>
      <c r="P9" s="26" t="s">
        <v>44</v>
      </c>
      <c r="R9" s="26" t="s">
        <v>44</v>
      </c>
      <c r="S9" t="s">
        <v>66</v>
      </c>
    </row>
    <row r="10" spans="2:20" x14ac:dyDescent="0.25">
      <c r="G10" t="s">
        <v>12</v>
      </c>
    </row>
    <row r="11" spans="2:20" x14ac:dyDescent="0.25">
      <c r="G11" t="s">
        <v>13</v>
      </c>
    </row>
    <row r="12" spans="2:20" x14ac:dyDescent="0.25">
      <c r="G12" t="s">
        <v>14</v>
      </c>
      <c r="J12">
        <f>120/4.3*52</f>
        <v>1451.1627906976744</v>
      </c>
    </row>
    <row r="13" spans="2:20" x14ac:dyDescent="0.25">
      <c r="J13">
        <f>120*12</f>
        <v>1440</v>
      </c>
    </row>
    <row r="15" spans="2:20" x14ac:dyDescent="0.25">
      <c r="L15" s="131" t="s">
        <v>54</v>
      </c>
      <c r="M15" s="131"/>
      <c r="N15" s="131"/>
      <c r="O15" s="131"/>
      <c r="P15" s="131"/>
      <c r="Q15" s="131"/>
      <c r="R15" s="131"/>
      <c r="S15" s="131"/>
    </row>
    <row r="16" spans="2:20" x14ac:dyDescent="0.25">
      <c r="L16" s="26" t="s">
        <v>48</v>
      </c>
      <c r="M16" s="26" t="s">
        <v>56</v>
      </c>
      <c r="N16" s="26" t="s">
        <v>71</v>
      </c>
      <c r="O16" s="26" t="s">
        <v>57</v>
      </c>
      <c r="P16" s="26" t="s">
        <v>58</v>
      </c>
      <c r="Q16" s="26" t="s">
        <v>59</v>
      </c>
      <c r="R16" s="26" t="s">
        <v>44</v>
      </c>
      <c r="S16" s="28" t="s">
        <v>45</v>
      </c>
    </row>
    <row r="17" spans="10:20" x14ac:dyDescent="0.25">
      <c r="J17" s="132" t="s">
        <v>55</v>
      </c>
      <c r="K17" s="26" t="s">
        <v>38</v>
      </c>
      <c r="L17" s="27">
        <v>1</v>
      </c>
      <c r="M17" s="27">
        <v>7</v>
      </c>
      <c r="N17" s="27">
        <v>28</v>
      </c>
      <c r="O17" s="27">
        <f>(365/12)</f>
        <v>30.416666666666668</v>
      </c>
      <c r="P17" s="27">
        <f>(365/4)</f>
        <v>91.25</v>
      </c>
      <c r="Q17" s="27">
        <f>365/2</f>
        <v>182.5</v>
      </c>
      <c r="R17" s="27">
        <v>365</v>
      </c>
      <c r="S17" s="27"/>
      <c r="T17">
        <v>365</v>
      </c>
    </row>
    <row r="18" spans="10:20" x14ac:dyDescent="0.25">
      <c r="J18" s="132"/>
      <c r="K18" s="26" t="s">
        <v>39</v>
      </c>
      <c r="L18" s="27">
        <v>7</v>
      </c>
      <c r="M18" s="27">
        <v>1</v>
      </c>
      <c r="N18" s="27">
        <v>4</v>
      </c>
      <c r="O18" s="27">
        <f>(365/12/7)</f>
        <v>4.3452380952380958</v>
      </c>
      <c r="P18" s="27">
        <f>365/7/4</f>
        <v>13.035714285714286</v>
      </c>
      <c r="Q18" s="27">
        <f>365/7/2</f>
        <v>26.071428571428573</v>
      </c>
      <c r="R18" s="27">
        <f>365/7</f>
        <v>52.142857142857146</v>
      </c>
      <c r="S18" s="27"/>
      <c r="T18">
        <v>52</v>
      </c>
    </row>
    <row r="19" spans="10:20" x14ac:dyDescent="0.25">
      <c r="J19" s="132"/>
      <c r="K19" s="26" t="s">
        <v>40</v>
      </c>
      <c r="L19" s="27">
        <v>28</v>
      </c>
      <c r="M19" s="27">
        <v>0.25</v>
      </c>
      <c r="N19" s="27">
        <v>1</v>
      </c>
      <c r="O19" s="27">
        <f>(365/12/7)/4</f>
        <v>1.0863095238095239</v>
      </c>
      <c r="P19" s="27">
        <f>P18/4</f>
        <v>3.2589285714285716</v>
      </c>
      <c r="Q19" s="27">
        <f>Q18/4</f>
        <v>6.5178571428571432</v>
      </c>
      <c r="R19" s="27">
        <f>R18/4</f>
        <v>13.035714285714286</v>
      </c>
      <c r="S19" s="27"/>
      <c r="T19" s="38">
        <f>52/4</f>
        <v>13</v>
      </c>
    </row>
    <row r="20" spans="10:20" x14ac:dyDescent="0.25">
      <c r="J20" s="132"/>
      <c r="K20" s="26" t="s">
        <v>41</v>
      </c>
      <c r="L20" s="27">
        <v>31</v>
      </c>
      <c r="M20" s="27">
        <f>1/(365/12/7)</f>
        <v>0.23013698630136983</v>
      </c>
      <c r="N20" s="27">
        <f>(365/12/7)/4</f>
        <v>1.0863095238095239</v>
      </c>
      <c r="O20" s="27">
        <v>1</v>
      </c>
      <c r="P20" s="27">
        <v>3</v>
      </c>
      <c r="Q20" s="27">
        <v>6</v>
      </c>
      <c r="R20" s="27">
        <v>12</v>
      </c>
      <c r="S20" s="27"/>
      <c r="T20" s="39">
        <v>12</v>
      </c>
    </row>
    <row r="21" spans="10:20" x14ac:dyDescent="0.25">
      <c r="J21" s="132"/>
      <c r="K21" s="26" t="s">
        <v>42</v>
      </c>
      <c r="L21" s="27">
        <f>365/4</f>
        <v>91.25</v>
      </c>
      <c r="M21" s="27">
        <f>1/(52/4)</f>
        <v>7.6923076923076927E-2</v>
      </c>
      <c r="N21" s="27">
        <f>3*N20</f>
        <v>3.2589285714285721</v>
      </c>
      <c r="O21" s="27">
        <f>1/3</f>
        <v>0.33333333333333331</v>
      </c>
      <c r="P21" s="27">
        <v>1</v>
      </c>
      <c r="Q21" s="27">
        <v>2</v>
      </c>
      <c r="R21" s="27">
        <v>4</v>
      </c>
      <c r="S21" s="27"/>
      <c r="T21" s="39">
        <v>4</v>
      </c>
    </row>
    <row r="22" spans="10:20" x14ac:dyDescent="0.25">
      <c r="J22" s="132"/>
      <c r="K22" s="26" t="s">
        <v>43</v>
      </c>
      <c r="L22" s="27">
        <f>365/2</f>
        <v>182.5</v>
      </c>
      <c r="M22" s="27">
        <f>1/(52/2)</f>
        <v>3.8461538461538464E-2</v>
      </c>
      <c r="N22" s="27">
        <f>6*N20</f>
        <v>6.5178571428571441</v>
      </c>
      <c r="O22" s="27">
        <f>1/6</f>
        <v>0.16666666666666666</v>
      </c>
      <c r="P22" s="27">
        <f>1/2</f>
        <v>0.5</v>
      </c>
      <c r="Q22" s="27">
        <v>1</v>
      </c>
      <c r="R22" s="27">
        <v>2</v>
      </c>
      <c r="S22" s="27"/>
      <c r="T22">
        <v>2</v>
      </c>
    </row>
    <row r="23" spans="10:20" x14ac:dyDescent="0.25">
      <c r="J23" s="132"/>
      <c r="K23" s="26" t="s">
        <v>44</v>
      </c>
      <c r="L23" s="27">
        <v>365</v>
      </c>
      <c r="M23" s="27">
        <f>1/52</f>
        <v>1.9230769230769232E-2</v>
      </c>
      <c r="N23" s="27">
        <f>12*N20</f>
        <v>13.035714285714288</v>
      </c>
      <c r="O23" s="27">
        <f>1/12</f>
        <v>8.3333333333333329E-2</v>
      </c>
      <c r="P23" s="27">
        <f>1/4</f>
        <v>0.25</v>
      </c>
      <c r="Q23" s="27">
        <f>1/2</f>
        <v>0.5</v>
      </c>
      <c r="R23" s="27">
        <v>1</v>
      </c>
      <c r="S23" s="27"/>
      <c r="T23">
        <v>1</v>
      </c>
    </row>
    <row r="24" spans="10:20" x14ac:dyDescent="0.25">
      <c r="J24" s="132"/>
      <c r="K24" s="26" t="s">
        <v>229</v>
      </c>
      <c r="L24" s="27">
        <v>1</v>
      </c>
      <c r="M24" s="27">
        <v>1</v>
      </c>
      <c r="N24" s="27">
        <v>1</v>
      </c>
      <c r="O24" s="27">
        <v>1</v>
      </c>
      <c r="P24" s="27">
        <v>1</v>
      </c>
      <c r="Q24" s="27">
        <v>1</v>
      </c>
      <c r="R24" s="27">
        <v>1</v>
      </c>
      <c r="S24" s="27">
        <v>1</v>
      </c>
    </row>
  </sheetData>
  <sheetProtection formatColumns="0" formatRows="0"/>
  <mergeCells count="2">
    <mergeCell ref="L15:S15"/>
    <mergeCell ref="J17:J2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11"/>
  <sheetViews>
    <sheetView workbookViewId="0">
      <selection activeCell="E15" sqref="E15"/>
    </sheetView>
  </sheetViews>
  <sheetFormatPr defaultRowHeight="15" x14ac:dyDescent="0.25"/>
  <cols>
    <col min="2" max="7" width="24.7109375" customWidth="1"/>
  </cols>
  <sheetData>
    <row r="2" spans="2:9" ht="30" x14ac:dyDescent="0.25">
      <c r="B2" s="63" t="s">
        <v>201</v>
      </c>
      <c r="C2" s="98" t="s">
        <v>170</v>
      </c>
      <c r="D2" s="99" t="s">
        <v>171</v>
      </c>
      <c r="E2" s="99" t="s">
        <v>172</v>
      </c>
      <c r="F2" s="99" t="s">
        <v>173</v>
      </c>
      <c r="G2" s="99" t="s">
        <v>174</v>
      </c>
    </row>
    <row r="3" spans="2:9" x14ac:dyDescent="0.25">
      <c r="B3" s="95" t="s">
        <v>202</v>
      </c>
      <c r="C3" s="96">
        <v>64.800000000000011</v>
      </c>
      <c r="D3" s="96">
        <v>69.599999999999994</v>
      </c>
      <c r="E3" s="96">
        <v>69.599999999999994</v>
      </c>
      <c r="F3" s="96">
        <v>69.599999999999994</v>
      </c>
      <c r="G3" s="96">
        <v>69.599999999999994</v>
      </c>
    </row>
    <row r="4" spans="2:9" x14ac:dyDescent="0.25">
      <c r="B4" s="95" t="s">
        <v>203</v>
      </c>
      <c r="C4" s="96">
        <v>72.599999999999994</v>
      </c>
      <c r="D4" s="96">
        <v>82.8</v>
      </c>
      <c r="E4" s="96">
        <v>87.6</v>
      </c>
      <c r="F4" s="96">
        <v>94.2</v>
      </c>
      <c r="G4" s="96">
        <v>105.6</v>
      </c>
    </row>
    <row r="5" spans="2:9" x14ac:dyDescent="0.25">
      <c r="B5" s="95" t="s">
        <v>204</v>
      </c>
      <c r="C5" s="96">
        <v>87.6</v>
      </c>
      <c r="D5" s="96">
        <v>93</v>
      </c>
      <c r="E5" s="96">
        <v>97.8</v>
      </c>
      <c r="F5" s="96">
        <v>104.4</v>
      </c>
      <c r="G5" s="96">
        <v>115.8</v>
      </c>
    </row>
    <row r="6" spans="2:9" x14ac:dyDescent="0.25">
      <c r="B6" s="95" t="s">
        <v>205</v>
      </c>
      <c r="C6" s="96">
        <v>97.2</v>
      </c>
      <c r="D6" s="96">
        <v>103.2</v>
      </c>
      <c r="E6" s="96">
        <v>108</v>
      </c>
      <c r="F6" s="96">
        <v>114</v>
      </c>
      <c r="G6" s="96">
        <v>125.39999999999999</v>
      </c>
    </row>
    <row r="7" spans="2:9" x14ac:dyDescent="0.25">
      <c r="B7" s="95" t="s">
        <v>206</v>
      </c>
      <c r="C7" s="96">
        <v>112.2</v>
      </c>
      <c r="D7" s="96">
        <v>117.6</v>
      </c>
      <c r="E7" s="96">
        <v>122.4</v>
      </c>
      <c r="F7" s="96">
        <v>129</v>
      </c>
      <c r="G7" s="96">
        <v>141</v>
      </c>
    </row>
    <row r="8" spans="2:9" x14ac:dyDescent="0.25">
      <c r="B8" s="95" t="s">
        <v>207</v>
      </c>
      <c r="C8" s="96">
        <v>133.20000000000002</v>
      </c>
      <c r="D8" s="96">
        <v>139.19999999999999</v>
      </c>
      <c r="E8" s="96">
        <v>144</v>
      </c>
      <c r="F8" s="96">
        <v>150.6</v>
      </c>
      <c r="G8" s="96">
        <v>162.6</v>
      </c>
    </row>
    <row r="9" spans="2:9" x14ac:dyDescent="0.25">
      <c r="B9" s="95" t="s">
        <v>208</v>
      </c>
      <c r="C9" s="96">
        <v>186</v>
      </c>
      <c r="D9" s="96">
        <v>192</v>
      </c>
      <c r="E9" s="96">
        <v>196.79999999999998</v>
      </c>
      <c r="F9" s="96">
        <v>203.4</v>
      </c>
      <c r="G9" s="96">
        <v>216</v>
      </c>
    </row>
    <row r="10" spans="2:9" x14ac:dyDescent="0.25">
      <c r="B10" s="100" t="s">
        <v>218</v>
      </c>
      <c r="C10" s="100">
        <v>85</v>
      </c>
      <c r="D10" s="100">
        <v>90</v>
      </c>
      <c r="E10" s="100">
        <v>95</v>
      </c>
      <c r="F10" s="100">
        <v>120</v>
      </c>
      <c r="G10" s="100">
        <v>130</v>
      </c>
      <c r="I10" t="s">
        <v>216</v>
      </c>
    </row>
    <row r="11" spans="2:9" ht="45" x14ac:dyDescent="0.25">
      <c r="B11" s="97" t="s">
        <v>215</v>
      </c>
      <c r="C11" s="97">
        <v>84.392569786957992</v>
      </c>
      <c r="D11" s="97">
        <v>92.12082129464558</v>
      </c>
      <c r="E11" s="97">
        <v>95.280326264656424</v>
      </c>
      <c r="F11" s="97">
        <v>120.88157844080845</v>
      </c>
      <c r="G11" s="97">
        <v>131.20097323600973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6" ma:contentTypeDescription="Een nieuw document maken." ma:contentTypeScope="" ma:versionID="807c029ab9720b30ffe400ec5088c367">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dcce49b5ec193bab2b780d6bfb7895a"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Props1.xml><?xml version="1.0" encoding="utf-8"?>
<ds:datastoreItem xmlns:ds="http://schemas.openxmlformats.org/officeDocument/2006/customXml" ds:itemID="{512C6A70-C8DD-498A-B967-F183F10B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C3AE4-6EAC-4E62-8A65-E3E85BE78CEC}">
  <ds:schemaRefs>
    <ds:schemaRef ds:uri="http://schemas.microsoft.com/sharepoint/v3/contenttype/forms"/>
  </ds:schemaRefs>
</ds:datastoreItem>
</file>

<file path=customXml/itemProps3.xml><?xml version="1.0" encoding="utf-8"?>
<ds:datastoreItem xmlns:ds="http://schemas.openxmlformats.org/officeDocument/2006/customXml" ds:itemID="{912883DB-E445-49F5-8D78-2115B3498D6E}">
  <ds:schemaRefs>
    <ds:schemaRef ds:uri="http://schemas.microsoft.com/office/2006/metadata/properties"/>
    <ds:schemaRef ds:uri="http://schemas.microsoft.com/office/infopath/2007/PartnerControls"/>
    <ds:schemaRef ds:uri="c12d84f1-d0d5-41ed-88c6-22c43b5cadae"/>
    <ds:schemaRef ds:uri="266f618a-9115-45d6-a13a-cfc44a6f9a91"/>
    <ds:schemaRef ds:uri="72831109-93e2-45f4-9ef2-f68b578c7fc0"/>
    <ds:schemaRef ds:uri="93ccd8f4-8b3b-401f-9181-a7e3484732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13</vt:i4>
      </vt:variant>
    </vt:vector>
  </HeadingPairs>
  <TitlesOfParts>
    <vt:vector size="19" baseType="lpstr">
      <vt:lpstr>Versiebeheer</vt:lpstr>
      <vt:lpstr>Invulinstructie</vt:lpstr>
      <vt:lpstr>Rekenhulp ambulant budget</vt:lpstr>
      <vt:lpstr>Testbevindingen</vt:lpstr>
      <vt:lpstr>Lijsten</vt:lpstr>
      <vt:lpstr>Rekentarief</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cp:lastPrinted>2022-12-13T17:00:34Z</cp:lastPrinted>
  <dcterms:created xsi:type="dcterms:W3CDTF">2022-04-08T08:09:13Z</dcterms:created>
  <dcterms:modified xsi:type="dcterms:W3CDTF">2023-01-05T09:45:32Z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